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huusko\Desktop\"/>
    </mc:Choice>
  </mc:AlternateContent>
  <bookViews>
    <workbookView xWindow="0" yWindow="0" windowWidth="21570" windowHeight="8055" activeTab="1"/>
  </bookViews>
  <sheets>
    <sheet name="Mittaus" sheetId="1" r:id="rId1"/>
    <sheet name="Heilahdusaika" sheetId="2" r:id="rId2"/>
    <sheet name="Tilastoj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2" l="1"/>
  <c r="F51" i="2" s="1"/>
  <c r="G51" i="2" s="1"/>
  <c r="C48" i="2"/>
  <c r="D48" i="2" s="1"/>
  <c r="F48" i="2" s="1"/>
  <c r="G48" i="2" s="1"/>
  <c r="C49" i="2"/>
  <c r="D49" i="2" s="1"/>
  <c r="F49" i="2" s="1"/>
  <c r="G49" i="2" s="1"/>
  <c r="C50" i="2"/>
  <c r="D50" i="2" s="1"/>
  <c r="F50" i="2" s="1"/>
  <c r="C51" i="2"/>
  <c r="C52" i="2"/>
  <c r="D52" i="2" s="1"/>
  <c r="F52" i="2" s="1"/>
  <c r="G52" i="2" s="1"/>
  <c r="C47" i="2"/>
  <c r="D47" i="2" s="1"/>
  <c r="F47" i="2" s="1"/>
  <c r="F53" i="2" l="1"/>
  <c r="G47" i="2"/>
  <c r="G53" i="2" s="1"/>
  <c r="G15" i="2"/>
  <c r="H28" i="3" l="1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28" i="3"/>
  <c r="B25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4" i="3"/>
  <c r="B23" i="3"/>
  <c r="F4" i="3"/>
  <c r="F7" i="3"/>
  <c r="F11" i="3"/>
  <c r="F10" i="3"/>
  <c r="H7" i="3"/>
  <c r="F5" i="3"/>
  <c r="F6" i="3" s="1"/>
  <c r="B22" i="3"/>
  <c r="H18" i="3"/>
  <c r="F17" i="3"/>
  <c r="F18" i="3" s="1"/>
  <c r="F16" i="3"/>
  <c r="F15" i="3"/>
  <c r="G15" i="1"/>
  <c r="G18" i="1" s="1"/>
  <c r="G19" i="1" s="1"/>
  <c r="G20" i="1" s="1"/>
  <c r="F15" i="1"/>
  <c r="D16" i="1"/>
  <c r="C17" i="1"/>
  <c r="I13" i="1"/>
  <c r="F16" i="1"/>
  <c r="D15" i="1"/>
  <c r="H21" i="2"/>
  <c r="H22" i="2"/>
  <c r="H23" i="2"/>
  <c r="H24" i="2"/>
  <c r="H25" i="2"/>
  <c r="H20" i="2"/>
  <c r="F20" i="2"/>
  <c r="F21" i="2"/>
  <c r="F22" i="2"/>
  <c r="F23" i="2"/>
  <c r="F24" i="2"/>
  <c r="F25" i="2"/>
  <c r="G21" i="2"/>
  <c r="G22" i="2"/>
  <c r="G23" i="2"/>
  <c r="G24" i="2"/>
  <c r="G25" i="2"/>
  <c r="G20" i="2"/>
  <c r="D15" i="2"/>
  <c r="D11" i="2"/>
  <c r="D12" i="2"/>
  <c r="D13" i="2"/>
  <c r="D14" i="2"/>
  <c r="D10" i="2"/>
  <c r="C15" i="1"/>
  <c r="E7" i="1" s="1"/>
  <c r="G7" i="1" s="1"/>
  <c r="F22" i="3" l="1"/>
  <c r="F21" i="3"/>
  <c r="E6" i="1"/>
  <c r="G6" i="1" s="1"/>
  <c r="E10" i="1"/>
  <c r="E8" i="1"/>
  <c r="G8" i="1" s="1"/>
  <c r="E14" i="1"/>
  <c r="E12" i="1"/>
  <c r="D24" i="1"/>
  <c r="D25" i="1" s="1"/>
  <c r="D26" i="1" s="1"/>
  <c r="E13" i="1"/>
  <c r="E9" i="1"/>
  <c r="E5" i="1"/>
  <c r="E11" i="1"/>
  <c r="D25" i="2"/>
  <c r="D24" i="2"/>
  <c r="D23" i="2"/>
  <c r="D22" i="2"/>
  <c r="D21" i="2"/>
  <c r="D20" i="2"/>
  <c r="F5" i="1" l="1"/>
  <c r="G5" i="1"/>
  <c r="F10" i="1"/>
  <c r="G10" i="1"/>
  <c r="F12" i="1"/>
  <c r="G12" i="1"/>
  <c r="F9" i="1"/>
  <c r="G9" i="1"/>
  <c r="F14" i="1"/>
  <c r="G14" i="1"/>
  <c r="F11" i="1"/>
  <c r="G11" i="1"/>
  <c r="F13" i="1"/>
  <c r="G13" i="1"/>
  <c r="F7" i="1"/>
  <c r="F8" i="1"/>
  <c r="F6" i="1"/>
  <c r="F24" i="1" l="1"/>
  <c r="F25" i="1" s="1"/>
  <c r="F26" i="1" s="1"/>
</calcChain>
</file>

<file path=xl/sharedStrings.xml><?xml version="1.0" encoding="utf-8"?>
<sst xmlns="http://schemas.openxmlformats.org/spreadsheetml/2006/main" count="90" uniqueCount="82">
  <si>
    <t>Heilurimittauksia</t>
  </si>
  <si>
    <t>Mittaus</t>
  </si>
  <si>
    <t>s</t>
  </si>
  <si>
    <t>Aika [s]</t>
  </si>
  <si>
    <t>Keskiarvo</t>
  </si>
  <si>
    <t>Siis mitattiin heilahdusajaksi:</t>
  </si>
  <si>
    <t>±</t>
  </si>
  <si>
    <t>Pyöristettynä:</t>
  </si>
  <si>
    <t>iso ero!</t>
  </si>
  <si>
    <t>1/0</t>
  </si>
  <si>
    <t>Putoamiskiihtyvyys g</t>
  </si>
  <si>
    <t>Pituus L [m]</t>
  </si>
  <si>
    <t>Aika T [s]</t>
  </si>
  <si>
    <t>Suuruusjärjestyksessä</t>
  </si>
  <si>
    <t>L</t>
  </si>
  <si>
    <t>T</t>
  </si>
  <si>
    <t>T0</t>
  </si>
  <si>
    <t>Teoreettinen arvo</t>
  </si>
  <si>
    <t>T0=2*3,141592*sqrt(L/g)</t>
  </si>
  <si>
    <t>ln(L)</t>
  </si>
  <si>
    <t>ln(T)</t>
  </si>
  <si>
    <t>ln(T0)</t>
  </si>
  <si>
    <t>Ero</t>
  </si>
  <si>
    <t>Virhe</t>
  </si>
  <si>
    <t>https://www.youtube.com/watch?v=aBXJnvQ6KFk</t>
  </si>
  <si>
    <t>Dev^2</t>
  </si>
  <si>
    <t>Ero^2</t>
  </si>
  <si>
    <t>[sum Dev^2/(n-1)]^0.5</t>
  </si>
  <si>
    <t>Standard deviation SD</t>
  </si>
  <si>
    <t>Standard error of the mean SEM</t>
  </si>
  <si>
    <t>SD/SQRT(n)</t>
  </si>
  <si>
    <t>Heilahduksia k</t>
  </si>
  <si>
    <t>Mittauksia n</t>
  </si>
  <si>
    <t>SD-excel</t>
  </si>
  <si>
    <t>Deviation</t>
  </si>
  <si>
    <t>Otoshajonta</t>
  </si>
  <si>
    <t>https://fi.wikipedia.org/wiki/Hajontaluku#Otoshajonta</t>
  </si>
  <si>
    <t>Otosvarianssi</t>
  </si>
  <si>
    <t>sum Dev^2/n-1</t>
  </si>
  <si>
    <t>n-1</t>
  </si>
  <si>
    <t>Kaava</t>
  </si>
  <si>
    <t>ID</t>
  </si>
  <si>
    <t>Pisteet</t>
  </si>
  <si>
    <t>Standard Deviation</t>
  </si>
  <si>
    <t>Sample Size</t>
  </si>
  <si>
    <t>Square Root of the Sample Size</t>
  </si>
  <si>
    <t>Standard Error of the Mean</t>
  </si>
  <si>
    <t>95% Confidence Interval</t>
  </si>
  <si>
    <t>Upper Limit</t>
  </si>
  <si>
    <t>Lower Limit</t>
  </si>
  <si>
    <t>keskiarvo</t>
  </si>
  <si>
    <t>Englanniksi:</t>
  </si>
  <si>
    <t>Suomeksi:</t>
  </si>
  <si>
    <t>Otoskoko</t>
  </si>
  <si>
    <t>Otoskoon neliöjuuri</t>
  </si>
  <si>
    <t>95% Luottamusväli</t>
  </si>
  <si>
    <t>Yläraja</t>
  </si>
  <si>
    <t>Alaraja</t>
  </si>
  <si>
    <t>&lt;- tässä keskiarvo - otosvarianssi*1,92</t>
  </si>
  <si>
    <t>epäsymmetrinen jakauma =&gt; kaava muuttuu</t>
  </si>
  <si>
    <t>minimi</t>
  </si>
  <si>
    <t>maksimi</t>
  </si>
  <si>
    <t>muuttuja</t>
  </si>
  <si>
    <t>askeleita</t>
  </si>
  <si>
    <t>n/askel</t>
  </si>
  <si>
    <t>skaala</t>
  </si>
  <si>
    <t>ero</t>
  </si>
  <si>
    <t>alle</t>
  </si>
  <si>
    <t>x</t>
  </si>
  <si>
    <t>y</t>
  </si>
  <si>
    <t>"y2-y1"</t>
  </si>
  <si>
    <t>kertymäfunktio</t>
  </si>
  <si>
    <t>tiheysfunktio</t>
  </si>
  <si>
    <t>count cells less than</t>
  </si>
  <si>
    <t>https://exceljet.net/formula/count-cells-less-than</t>
  </si>
  <si>
    <t>korrelaatio</t>
  </si>
  <si>
    <t>vahva, no tottakai suora on helppo sovittaa 6 pisteen joukkoon</t>
  </si>
  <si>
    <t>Teoreettinen kaava =&gt;</t>
  </si>
  <si>
    <t>L=(T/2*pi)^2*g</t>
  </si>
  <si>
    <t>T/2*pi</t>
  </si>
  <si>
    <t>(T/2*pi)^2</t>
  </si>
  <si>
    <t>L/(T/2*pi)^2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</si>
</sst>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3" fillId="7" borderId="0" xfId="0" applyFont="1" applyFill="1"/>
    <xf numFmtId="0" fontId="0" fillId="8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Logaritmikuvaaja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Heilahdusaika!$G$19</c:f>
              <c:strCache>
                <c:ptCount val="1"/>
                <c:pt idx="0">
                  <c:v>ln(T)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Heilahdusaika!$F$20:$F$25</c:f>
              <c:numCache>
                <c:formatCode>General</c:formatCode>
                <c:ptCount val="6"/>
                <c:pt idx="0">
                  <c:v>-0.69314718055994529</c:v>
                </c:pt>
                <c:pt idx="1">
                  <c:v>0</c:v>
                </c:pt>
                <c:pt idx="2">
                  <c:v>0.40546510810816438</c:v>
                </c:pt>
                <c:pt idx="3">
                  <c:v>1.0367368849500223</c:v>
                </c:pt>
                <c:pt idx="4">
                  <c:v>1.4206957878372228</c:v>
                </c:pt>
                <c:pt idx="5">
                  <c:v>1.9459101490553132</c:v>
                </c:pt>
              </c:numCache>
            </c:numRef>
          </c:xVal>
          <c:yVal>
            <c:numRef>
              <c:f>Heilahdusaika!$G$20:$G$25</c:f>
              <c:numCache>
                <c:formatCode>General</c:formatCode>
                <c:ptCount val="6"/>
                <c:pt idx="0">
                  <c:v>0.36464311358790924</c:v>
                </c:pt>
                <c:pt idx="1">
                  <c:v>0.68309684470644383</c:v>
                </c:pt>
                <c:pt idx="2">
                  <c:v>0.92821930273942876</c:v>
                </c:pt>
                <c:pt idx="3">
                  <c:v>1.3635373739972745</c:v>
                </c:pt>
                <c:pt idx="4">
                  <c:v>1.4274363044510658</c:v>
                </c:pt>
                <c:pt idx="5">
                  <c:v>1.6714733033535532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CC-4205-BA33-483F2D24AF14}"/>
            </c:ext>
          </c:extLst>
        </c:ser>
        <c:ser>
          <c:idx val="1"/>
          <c:order val="1"/>
          <c:tx>
            <c:strRef>
              <c:f>Heilahdusaika!$H$19</c:f>
              <c:strCache>
                <c:ptCount val="1"/>
                <c:pt idx="0">
                  <c:v>ln(T0)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Heilahdusaika!$F$20:$F$25</c:f>
              <c:numCache>
                <c:formatCode>General</c:formatCode>
                <c:ptCount val="6"/>
                <c:pt idx="0">
                  <c:v>-0.69314718055994529</c:v>
                </c:pt>
                <c:pt idx="1">
                  <c:v>0</c:v>
                </c:pt>
                <c:pt idx="2">
                  <c:v>0.40546510810816438</c:v>
                </c:pt>
                <c:pt idx="3">
                  <c:v>1.0367368849500223</c:v>
                </c:pt>
                <c:pt idx="4">
                  <c:v>1.4206957878372228</c:v>
                </c:pt>
                <c:pt idx="5">
                  <c:v>1.9459101490553132</c:v>
                </c:pt>
              </c:numCache>
            </c:numRef>
          </c:xVal>
          <c:yVal>
            <c:numRef>
              <c:f>Heilahdusaika!$H$20:$H$25</c:f>
              <c:numCache>
                <c:formatCode>General</c:formatCode>
                <c:ptCount val="6"/>
                <c:pt idx="0">
                  <c:v>0.3496021312966226</c:v>
                </c:pt>
                <c:pt idx="1">
                  <c:v>0.69617572157659546</c:v>
                </c:pt>
                <c:pt idx="2">
                  <c:v>0.89890827563067754</c:v>
                </c:pt>
                <c:pt idx="3">
                  <c:v>1.2145441640516064</c:v>
                </c:pt>
                <c:pt idx="4">
                  <c:v>1.406523615495207</c:v>
                </c:pt>
                <c:pt idx="5">
                  <c:v>1.6691307961042521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CC-4205-BA33-483F2D24A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058800"/>
        <c:axId val="316054208"/>
      </c:scatterChart>
      <c:valAx>
        <c:axId val="316058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16054208"/>
        <c:crosses val="autoZero"/>
        <c:crossBetween val="midCat"/>
      </c:valAx>
      <c:valAx>
        <c:axId val="31605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160588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Kokeellinen</a:t>
            </a:r>
            <a:r>
              <a:rPr lang="fi-FI" baseline="0"/>
              <a:t> ja teoreettinen heilahdusaika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Kokeellinen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Heilahdusaika!$B$20:$B$25</c:f>
              <c:numCache>
                <c:formatCode>General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2.82</c:v>
                </c:pt>
                <c:pt idx="4">
                  <c:v>4.1399999999999997</c:v>
                </c:pt>
                <c:pt idx="5">
                  <c:v>7</c:v>
                </c:pt>
              </c:numCache>
            </c:numRef>
          </c:xVal>
          <c:yVal>
            <c:numRef>
              <c:f>Heilahdusaika!$C$20:$C$25</c:f>
              <c:numCache>
                <c:formatCode>General</c:formatCode>
                <c:ptCount val="6"/>
                <c:pt idx="0">
                  <c:v>1.44</c:v>
                </c:pt>
                <c:pt idx="1">
                  <c:v>1.98</c:v>
                </c:pt>
                <c:pt idx="2">
                  <c:v>2.5299999999999998</c:v>
                </c:pt>
                <c:pt idx="3">
                  <c:v>3.91</c:v>
                </c:pt>
                <c:pt idx="4">
                  <c:v>4.1680000000000001</c:v>
                </c:pt>
                <c:pt idx="5">
                  <c:v>5.32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69-42C6-9044-81EF1F4ACFFB}"/>
            </c:ext>
          </c:extLst>
        </c:ser>
        <c:ser>
          <c:idx val="1"/>
          <c:order val="1"/>
          <c:tx>
            <c:v>Teoreettinen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Heilahdusaika!$B$20:$B$25</c:f>
              <c:numCache>
                <c:formatCode>General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2.82</c:v>
                </c:pt>
                <c:pt idx="4">
                  <c:v>4.1399999999999997</c:v>
                </c:pt>
                <c:pt idx="5">
                  <c:v>7</c:v>
                </c:pt>
              </c:numCache>
            </c:numRef>
          </c:xVal>
          <c:yVal>
            <c:numRef>
              <c:f>Heilahdusaika!$D$20:$D$25</c:f>
              <c:numCache>
                <c:formatCode>General</c:formatCode>
                <c:ptCount val="6"/>
                <c:pt idx="0">
                  <c:v>1.4185030583316443</c:v>
                </c:pt>
                <c:pt idx="1">
                  <c:v>2.0060662633603252</c:v>
                </c:pt>
                <c:pt idx="2">
                  <c:v>2.4569193677222469</c:v>
                </c:pt>
                <c:pt idx="3">
                  <c:v>3.3687581132278894</c:v>
                </c:pt>
                <c:pt idx="4">
                  <c:v>4.0817410098374411</c:v>
                </c:pt>
                <c:pt idx="5">
                  <c:v>5.3075524463680246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69-42C6-9044-81EF1F4AC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531720"/>
        <c:axId val="335532376"/>
      </c:scatterChart>
      <c:valAx>
        <c:axId val="335531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35532376"/>
        <c:crosses val="autoZero"/>
        <c:crossBetween val="midCat"/>
      </c:valAx>
      <c:valAx>
        <c:axId val="33553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35531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Sovitus:</a:t>
            </a:r>
            <a:r>
              <a:rPr lang="en-US" baseline="0"/>
              <a:t> p</a:t>
            </a:r>
            <a:r>
              <a:rPr lang="en-US"/>
              <a:t>utoamiskiihtyvyys</a:t>
            </a:r>
            <a:r>
              <a:rPr lang="en-US" baseline="0"/>
              <a:t> g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Heilahdusaika!$E$46</c:f>
              <c:strCache>
                <c:ptCount val="1"/>
                <c:pt idx="0">
                  <c:v>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</c:trendlineLbl>
          </c:trendline>
          <c:xVal>
            <c:numRef>
              <c:f>Heilahdusaika!$D$47:$D$52</c:f>
              <c:numCache>
                <c:formatCode>General</c:formatCode>
                <c:ptCount val="6"/>
                <c:pt idx="0">
                  <c:v>5.2524902388992635E-2</c:v>
                </c:pt>
                <c:pt idx="1">
                  <c:v>9.930489357918923E-2</c:v>
                </c:pt>
                <c:pt idx="2">
                  <c:v>0.16213669352898483</c:v>
                </c:pt>
                <c:pt idx="3">
                  <c:v>0.38725210272625316</c:v>
                </c:pt>
                <c:pt idx="4">
                  <c:v>0.44004358115341208</c:v>
                </c:pt>
                <c:pt idx="5">
                  <c:v>0.71690817774605775</c:v>
                </c:pt>
              </c:numCache>
            </c:numRef>
          </c:xVal>
          <c:yVal>
            <c:numRef>
              <c:f>Heilahdusaika!$E$47:$E$52</c:f>
              <c:numCache>
                <c:formatCode>General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2.82</c:v>
                </c:pt>
                <c:pt idx="4">
                  <c:v>4.1399999999999997</c:v>
                </c:pt>
                <c:pt idx="5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D0-436B-AA06-1F808F363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798344"/>
        <c:axId val="309799984"/>
      </c:scatterChart>
      <c:valAx>
        <c:axId val="309798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9799984"/>
        <c:crosses val="autoZero"/>
        <c:crossBetween val="midCat"/>
      </c:valAx>
      <c:valAx>
        <c:axId val="30979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9798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Kertymä</a:t>
            </a:r>
            <a:r>
              <a:rPr lang="fi-FI" baseline="0"/>
              <a:t> ja tiheys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Tilastoja!$G$26</c:f>
              <c:strCache>
                <c:ptCount val="1"/>
                <c:pt idx="0">
                  <c:v>kertymäfunktio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Tilastoja!$F$27:$F$48</c:f>
              <c:numCache>
                <c:formatCode>General</c:formatCode>
                <c:ptCount val="22"/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</c:numCache>
            </c:numRef>
          </c:xVal>
          <c:yVal>
            <c:numRef>
              <c:f>Tilastoja!$G$27:$G$48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9</c:v>
                </c:pt>
                <c:pt idx="10">
                  <c:v>10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19</c:v>
                </c:pt>
                <c:pt idx="21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E2-4847-9332-B75A758EB595}"/>
            </c:ext>
          </c:extLst>
        </c:ser>
        <c:ser>
          <c:idx val="1"/>
          <c:order val="1"/>
          <c:tx>
            <c:strRef>
              <c:f>Tilastoja!$H$26</c:f>
              <c:strCache>
                <c:ptCount val="1"/>
                <c:pt idx="0">
                  <c:v>tiheysfunktio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Tilastoja!$F$27:$F$48</c:f>
              <c:numCache>
                <c:formatCode>General</c:formatCode>
                <c:ptCount val="22"/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</c:numCache>
            </c:numRef>
          </c:xVal>
          <c:yVal>
            <c:numRef>
              <c:f>Tilastoja!$H$27:$H$48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E2-4847-9332-B75A758EB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0838896"/>
        <c:axId val="320838568"/>
      </c:scatterChart>
      <c:valAx>
        <c:axId val="320838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20838568"/>
        <c:crosses val="autoZero"/>
        <c:crossBetween val="midCat"/>
      </c:valAx>
      <c:valAx>
        <c:axId val="32083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20838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14882</xdr:colOff>
      <xdr:row>26</xdr:row>
      <xdr:rowOff>5953</xdr:rowOff>
    </xdr:from>
    <xdr:to>
      <xdr:col>10</xdr:col>
      <xdr:colOff>0</xdr:colOff>
      <xdr:row>40</xdr:row>
      <xdr:rowOff>79771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5955</xdr:colOff>
      <xdr:row>26</xdr:row>
      <xdr:rowOff>5952</xdr:rowOff>
    </xdr:from>
    <xdr:to>
      <xdr:col>4</xdr:col>
      <xdr:colOff>1000126</xdr:colOff>
      <xdr:row>39</xdr:row>
      <xdr:rowOff>178593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223243</xdr:colOff>
      <xdr:row>42</xdr:row>
      <xdr:rowOff>47623</xdr:rowOff>
    </xdr:from>
    <xdr:to>
      <xdr:col>13</xdr:col>
      <xdr:colOff>125017</xdr:colOff>
      <xdr:row>56</xdr:row>
      <xdr:rowOff>151208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452437</xdr:colOff>
      <xdr:row>25</xdr:row>
      <xdr:rowOff>152400</xdr:rowOff>
    </xdr:from>
    <xdr:to>
      <xdr:col>17</xdr:col>
      <xdr:colOff>147637</xdr:colOff>
      <xdr:row>40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i.wikipedia.org/wiki/Hajontaluku" TargetMode="External"/><Relationship Id="rId1" Type="http://schemas.openxmlformats.org/officeDocument/2006/relationships/hyperlink" Target="https://www.youtube.com/watch?v=aBXJnvQ6KF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/count-cells-less-th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zoomScale="115" zoomScaleNormal="115" workbookViewId="0">
      <selection activeCell="D37" sqref="D37"/>
    </sheetView>
  </sheetViews>
  <sheetFormatPr defaultRowHeight="15" x14ac:dyDescent="0.25"/>
  <cols>
    <col min="1" max="1" width="17.140625" customWidth="1"/>
    <col min="2" max="2" width="11.28515625" customWidth="1"/>
    <col min="3" max="3" width="5.140625" customWidth="1"/>
    <col min="5" max="5" width="6.85546875" customWidth="1"/>
    <col min="6" max="6" width="6.42578125" customWidth="1"/>
  </cols>
  <sheetData>
    <row r="2" spans="1:9" ht="21" x14ac:dyDescent="0.35">
      <c r="B2" s="1" t="s">
        <v>0</v>
      </c>
      <c r="C2" s="1"/>
      <c r="G2" s="2" t="s">
        <v>24</v>
      </c>
    </row>
    <row r="3" spans="1:9" x14ac:dyDescent="0.25">
      <c r="E3" t="s">
        <v>34</v>
      </c>
      <c r="G3" t="s">
        <v>25</v>
      </c>
    </row>
    <row r="4" spans="1:9" x14ac:dyDescent="0.25">
      <c r="A4" t="s">
        <v>31</v>
      </c>
      <c r="B4" t="s">
        <v>1</v>
      </c>
      <c r="C4" t="s">
        <v>9</v>
      </c>
      <c r="D4" t="s">
        <v>3</v>
      </c>
      <c r="E4" t="s">
        <v>22</v>
      </c>
      <c r="F4" t="s">
        <v>23</v>
      </c>
      <c r="G4" t="s">
        <v>26</v>
      </c>
    </row>
    <row r="5" spans="1:9" x14ac:dyDescent="0.25">
      <c r="A5">
        <v>5</v>
      </c>
      <c r="B5">
        <v>1</v>
      </c>
      <c r="C5">
        <v>1</v>
      </c>
      <c r="D5">
        <v>20.84</v>
      </c>
      <c r="E5">
        <f>D5-D$15*C5</f>
        <v>9.0000000000003411E-3</v>
      </c>
      <c r="F5">
        <f>ABS(E5)</f>
        <v>9.0000000000003411E-3</v>
      </c>
      <c r="G5">
        <f>E5^2</f>
        <v>8.1000000000006143E-5</v>
      </c>
    </row>
    <row r="6" spans="1:9" x14ac:dyDescent="0.25">
      <c r="B6">
        <v>2</v>
      </c>
      <c r="C6">
        <v>1</v>
      </c>
      <c r="D6">
        <v>20.83</v>
      </c>
      <c r="E6">
        <f t="shared" ref="E6:E14" si="0">D6-D$15*C6</f>
        <v>-1.0000000000012221E-3</v>
      </c>
      <c r="F6">
        <f t="shared" ref="F6:F14" si="1">ABS(E6)</f>
        <v>1.0000000000012221E-3</v>
      </c>
      <c r="G6">
        <f t="shared" ref="G6:G14" si="2">E6^2</f>
        <v>1.0000000000024443E-6</v>
      </c>
    </row>
    <row r="7" spans="1:9" x14ac:dyDescent="0.25">
      <c r="B7">
        <v>3</v>
      </c>
      <c r="C7">
        <v>1</v>
      </c>
      <c r="D7">
        <v>20.83</v>
      </c>
      <c r="E7">
        <f t="shared" si="0"/>
        <v>-1.0000000000012221E-3</v>
      </c>
      <c r="F7">
        <f t="shared" si="1"/>
        <v>1.0000000000012221E-3</v>
      </c>
      <c r="G7">
        <f t="shared" si="2"/>
        <v>1.0000000000024443E-6</v>
      </c>
    </row>
    <row r="8" spans="1:9" x14ac:dyDescent="0.25">
      <c r="B8">
        <v>4</v>
      </c>
      <c r="C8">
        <v>1</v>
      </c>
      <c r="D8">
        <v>20.85</v>
      </c>
      <c r="E8">
        <f t="shared" si="0"/>
        <v>1.9000000000001904E-2</v>
      </c>
      <c r="F8">
        <f t="shared" si="1"/>
        <v>1.9000000000001904E-2</v>
      </c>
      <c r="G8">
        <f t="shared" si="2"/>
        <v>3.6100000000007236E-4</v>
      </c>
    </row>
    <row r="9" spans="1:9" x14ac:dyDescent="0.25">
      <c r="B9">
        <v>5</v>
      </c>
      <c r="C9">
        <v>1</v>
      </c>
      <c r="D9">
        <v>20.81</v>
      </c>
      <c r="E9">
        <f t="shared" si="0"/>
        <v>-2.1000000000000796E-2</v>
      </c>
      <c r="F9">
        <f t="shared" si="1"/>
        <v>2.1000000000000796E-2</v>
      </c>
      <c r="G9">
        <f t="shared" si="2"/>
        <v>4.4100000000003343E-4</v>
      </c>
    </row>
    <row r="10" spans="1:9" x14ac:dyDescent="0.25">
      <c r="B10">
        <v>6</v>
      </c>
      <c r="C10">
        <v>1</v>
      </c>
      <c r="D10">
        <v>20.87</v>
      </c>
      <c r="E10">
        <f t="shared" si="0"/>
        <v>3.9000000000001478E-2</v>
      </c>
      <c r="F10">
        <f t="shared" si="1"/>
        <v>3.9000000000001478E-2</v>
      </c>
      <c r="G10">
        <f t="shared" si="2"/>
        <v>1.5210000000001154E-3</v>
      </c>
      <c r="I10" t="s">
        <v>40</v>
      </c>
    </row>
    <row r="11" spans="1:9" x14ac:dyDescent="0.25">
      <c r="B11">
        <v>7</v>
      </c>
      <c r="C11">
        <v>1</v>
      </c>
      <c r="D11">
        <v>20.9</v>
      </c>
      <c r="E11">
        <f t="shared" si="0"/>
        <v>6.8999999999999062E-2</v>
      </c>
      <c r="F11">
        <f t="shared" si="1"/>
        <v>6.8999999999999062E-2</v>
      </c>
      <c r="G11">
        <f t="shared" si="2"/>
        <v>4.7609999999998704E-3</v>
      </c>
    </row>
    <row r="12" spans="1:9" x14ac:dyDescent="0.25">
      <c r="B12">
        <v>8</v>
      </c>
      <c r="C12">
        <v>1</v>
      </c>
      <c r="D12">
        <v>20.83</v>
      </c>
      <c r="E12">
        <f t="shared" si="0"/>
        <v>-1.0000000000012221E-3</v>
      </c>
      <c r="F12">
        <f t="shared" si="1"/>
        <v>1.0000000000012221E-3</v>
      </c>
      <c r="G12">
        <f t="shared" si="2"/>
        <v>1.0000000000024443E-6</v>
      </c>
      <c r="I12" t="s">
        <v>33</v>
      </c>
    </row>
    <row r="13" spans="1:9" x14ac:dyDescent="0.25">
      <c r="B13">
        <v>9</v>
      </c>
      <c r="C13">
        <v>1</v>
      </c>
      <c r="D13">
        <v>20.77</v>
      </c>
      <c r="E13">
        <f t="shared" si="0"/>
        <v>-6.0999999999999943E-2</v>
      </c>
      <c r="F13">
        <f t="shared" si="1"/>
        <v>6.0999999999999943E-2</v>
      </c>
      <c r="G13">
        <f t="shared" si="2"/>
        <v>3.720999999999993E-3</v>
      </c>
      <c r="I13">
        <f>_xlfn.STDEV.S(D5:D14)</f>
        <v>3.8715486421958864E-2</v>
      </c>
    </row>
    <row r="14" spans="1:9" x14ac:dyDescent="0.25">
      <c r="B14">
        <v>10</v>
      </c>
      <c r="C14">
        <v>1</v>
      </c>
      <c r="D14">
        <v>20.78</v>
      </c>
      <c r="E14">
        <f t="shared" si="0"/>
        <v>-5.099999999999838E-2</v>
      </c>
      <c r="F14">
        <f t="shared" si="1"/>
        <v>5.099999999999838E-2</v>
      </c>
      <c r="G14">
        <f t="shared" si="2"/>
        <v>2.6009999999998348E-3</v>
      </c>
    </row>
    <row r="15" spans="1:9" x14ac:dyDescent="0.25">
      <c r="B15" t="s">
        <v>32</v>
      </c>
      <c r="C15">
        <f>SUM(C5:C14)</f>
        <v>10</v>
      </c>
      <c r="D15">
        <f>SUM(D5:D14)/C15</f>
        <v>20.831</v>
      </c>
      <c r="F15">
        <f>SUM(F5:F14)/C15</f>
        <v>2.7200000000000557E-2</v>
      </c>
      <c r="G15">
        <f>SUM(G5:G14)</f>
        <v>1.3489999999999933E-2</v>
      </c>
    </row>
    <row r="16" spans="1:9" x14ac:dyDescent="0.25">
      <c r="B16" t="s">
        <v>4</v>
      </c>
      <c r="D16">
        <f>D15/A5</f>
        <v>4.1661999999999999</v>
      </c>
      <c r="F16">
        <f>F15/A5</f>
        <v>5.4400000000001114E-3</v>
      </c>
    </row>
    <row r="17" spans="1:12" x14ac:dyDescent="0.25">
      <c r="B17" t="s">
        <v>39</v>
      </c>
      <c r="C17">
        <f>C15-1</f>
        <v>9</v>
      </c>
    </row>
    <row r="18" spans="1:12" x14ac:dyDescent="0.25">
      <c r="A18" t="s">
        <v>37</v>
      </c>
      <c r="G18">
        <f>G15/C17</f>
        <v>1.4988888888888814E-3</v>
      </c>
      <c r="I18" t="s">
        <v>38</v>
      </c>
    </row>
    <row r="19" spans="1:12" x14ac:dyDescent="0.25">
      <c r="A19" t="s">
        <v>35</v>
      </c>
      <c r="B19" t="s">
        <v>28</v>
      </c>
      <c r="G19">
        <f>SQRT(G18)</f>
        <v>3.8715486421958864E-2</v>
      </c>
      <c r="I19" t="s">
        <v>27</v>
      </c>
      <c r="L19" s="2" t="s">
        <v>36</v>
      </c>
    </row>
    <row r="20" spans="1:12" x14ac:dyDescent="0.25">
      <c r="B20" t="s">
        <v>29</v>
      </c>
      <c r="G20">
        <f>G19/SQRT(C15)</f>
        <v>1.2242911781471274E-2</v>
      </c>
      <c r="I20" t="s">
        <v>30</v>
      </c>
    </row>
    <row r="24" spans="1:12" x14ac:dyDescent="0.25">
      <c r="A24" t="s">
        <v>5</v>
      </c>
      <c r="D24">
        <f>D15</f>
        <v>20.831</v>
      </c>
      <c r="E24" t="s">
        <v>6</v>
      </c>
      <c r="F24">
        <f>F15</f>
        <v>2.7200000000000557E-2</v>
      </c>
      <c r="G24" t="s">
        <v>2</v>
      </c>
    </row>
    <row r="25" spans="1:12" x14ac:dyDescent="0.25">
      <c r="A25" t="s">
        <v>7</v>
      </c>
      <c r="D25">
        <f>ROUND(D24,2)</f>
        <v>20.83</v>
      </c>
      <c r="E25" t="s">
        <v>6</v>
      </c>
      <c r="F25">
        <f>CEILING(F24,0.01)</f>
        <v>0.03</v>
      </c>
      <c r="G25" t="s">
        <v>2</v>
      </c>
    </row>
    <row r="26" spans="1:12" x14ac:dyDescent="0.25">
      <c r="D26">
        <f>D25/A5</f>
        <v>4.1659999999999995</v>
      </c>
      <c r="F26">
        <f>F25/A5</f>
        <v>6.0000000000000001E-3</v>
      </c>
    </row>
  </sheetData>
  <hyperlinks>
    <hyperlink ref="G2" r:id="rId1"/>
    <hyperlink ref="L19" r:id="rId2" location="Otoshajonta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abSelected="1" topLeftCell="A34" zoomScale="160" zoomScaleNormal="160" workbookViewId="0">
      <selection activeCell="G54" sqref="G54"/>
    </sheetView>
  </sheetViews>
  <sheetFormatPr defaultRowHeight="15" x14ac:dyDescent="0.25"/>
  <cols>
    <col min="2" max="2" width="12.28515625" customWidth="1"/>
    <col min="5" max="5" width="16.7109375" customWidth="1"/>
    <col min="6" max="6" width="14.28515625" customWidth="1"/>
  </cols>
  <sheetData>
    <row r="2" spans="2:7" ht="21" x14ac:dyDescent="0.35">
      <c r="C2" s="1"/>
    </row>
    <row r="5" spans="2:7" x14ac:dyDescent="0.25">
      <c r="B5" t="s">
        <v>17</v>
      </c>
      <c r="D5" t="s">
        <v>18</v>
      </c>
    </row>
    <row r="7" spans="2:7" x14ac:dyDescent="0.25">
      <c r="B7" t="s">
        <v>10</v>
      </c>
      <c r="D7">
        <v>9.81</v>
      </c>
    </row>
    <row r="9" spans="2:7" x14ac:dyDescent="0.25">
      <c r="B9" t="s">
        <v>11</v>
      </c>
      <c r="C9" t="s">
        <v>12</v>
      </c>
      <c r="D9" t="s">
        <v>16</v>
      </c>
    </row>
    <row r="10" spans="2:7" x14ac:dyDescent="0.25">
      <c r="B10">
        <v>1</v>
      </c>
      <c r="C10">
        <v>1.98</v>
      </c>
      <c r="D10">
        <f>2*3.141592*SQRT(B10/$D$7)</f>
        <v>2.0060662633603252</v>
      </c>
    </row>
    <row r="11" spans="2:7" x14ac:dyDescent="0.25">
      <c r="B11">
        <v>2.82</v>
      </c>
      <c r="C11">
        <v>3.91</v>
      </c>
      <c r="D11">
        <f t="shared" ref="D11:D14" si="0">2*3.141592*SQRT(B11/$D$7)</f>
        <v>3.3687581132278894</v>
      </c>
    </row>
    <row r="12" spans="2:7" x14ac:dyDescent="0.25">
      <c r="B12">
        <v>7</v>
      </c>
      <c r="C12">
        <v>5.32</v>
      </c>
      <c r="D12">
        <f t="shared" si="0"/>
        <v>5.3075524463680246</v>
      </c>
    </row>
    <row r="13" spans="2:7" x14ac:dyDescent="0.25">
      <c r="B13">
        <v>0.5</v>
      </c>
      <c r="C13">
        <v>1.44</v>
      </c>
      <c r="D13">
        <f t="shared" si="0"/>
        <v>1.4185030583316443</v>
      </c>
    </row>
    <row r="14" spans="2:7" x14ac:dyDescent="0.25">
      <c r="B14">
        <v>1.5</v>
      </c>
      <c r="C14">
        <v>2.5299999999999998</v>
      </c>
      <c r="D14">
        <f t="shared" si="0"/>
        <v>2.4569193677222469</v>
      </c>
    </row>
    <row r="15" spans="2:7" x14ac:dyDescent="0.25">
      <c r="B15">
        <v>4.1399999999999997</v>
      </c>
      <c r="C15">
        <v>4.1680000000000001</v>
      </c>
      <c r="D15">
        <f>2*3.141592*SQRT(B15/$D$7)</f>
        <v>4.0817410098374411</v>
      </c>
      <c r="F15" t="s">
        <v>75</v>
      </c>
      <c r="G15">
        <f>CORREL(F20:F25,G20:G25)</f>
        <v>0.99336056361357117</v>
      </c>
    </row>
    <row r="16" spans="2:7" x14ac:dyDescent="0.25">
      <c r="F16" t="s">
        <v>76</v>
      </c>
    </row>
    <row r="17" spans="2:8" x14ac:dyDescent="0.25">
      <c r="B17" t="s">
        <v>13</v>
      </c>
    </row>
    <row r="19" spans="2:8" x14ac:dyDescent="0.25">
      <c r="B19" t="s">
        <v>14</v>
      </c>
      <c r="C19" t="s">
        <v>15</v>
      </c>
      <c r="D19" t="s">
        <v>16</v>
      </c>
      <c r="F19" t="s">
        <v>19</v>
      </c>
      <c r="G19" t="s">
        <v>20</v>
      </c>
      <c r="H19" t="s">
        <v>21</v>
      </c>
    </row>
    <row r="20" spans="2:8" x14ac:dyDescent="0.25">
      <c r="B20">
        <v>0.5</v>
      </c>
      <c r="C20">
        <v>1.44</v>
      </c>
      <c r="D20">
        <f t="shared" ref="D20" si="1">2*3.141592*SQRT(B20/9.81)</f>
        <v>1.4185030583316443</v>
      </c>
      <c r="F20">
        <f>LN(B20)</f>
        <v>-0.69314718055994529</v>
      </c>
      <c r="G20">
        <f>LN(C20)</f>
        <v>0.36464311358790924</v>
      </c>
      <c r="H20">
        <f>LN(D20)</f>
        <v>0.3496021312966226</v>
      </c>
    </row>
    <row r="21" spans="2:8" x14ac:dyDescent="0.25">
      <c r="B21">
        <v>1</v>
      </c>
      <c r="C21">
        <v>1.98</v>
      </c>
      <c r="D21">
        <f>2*3.141592*SQRT(B21/9.81)</f>
        <v>2.0060662633603252</v>
      </c>
      <c r="F21">
        <f t="shared" ref="F21:F25" si="2">LN(B21)</f>
        <v>0</v>
      </c>
      <c r="G21">
        <f>LN(C21)</f>
        <v>0.68309684470644383</v>
      </c>
      <c r="H21">
        <f t="shared" ref="H21:H25" si="3">LN(D21)</f>
        <v>0.69617572157659546</v>
      </c>
    </row>
    <row r="22" spans="2:8" x14ac:dyDescent="0.25">
      <c r="B22">
        <v>1.5</v>
      </c>
      <c r="C22">
        <v>2.5299999999999998</v>
      </c>
      <c r="D22">
        <f t="shared" ref="D22" si="4">2*3.141592*SQRT(B22/9.81)</f>
        <v>2.4569193677222469</v>
      </c>
      <c r="F22">
        <f t="shared" si="2"/>
        <v>0.40546510810816438</v>
      </c>
      <c r="G22">
        <f>LN(C22)</f>
        <v>0.92821930273942876</v>
      </c>
      <c r="H22">
        <f t="shared" si="3"/>
        <v>0.89890827563067754</v>
      </c>
    </row>
    <row r="23" spans="2:8" x14ac:dyDescent="0.25">
      <c r="B23">
        <v>2.82</v>
      </c>
      <c r="C23">
        <v>3.91</v>
      </c>
      <c r="D23">
        <f>2*3.141592*SQRT(B23/9.81)</f>
        <v>3.3687581132278894</v>
      </c>
      <c r="E23" t="s">
        <v>8</v>
      </c>
      <c r="F23">
        <f t="shared" si="2"/>
        <v>1.0367368849500223</v>
      </c>
      <c r="G23">
        <f>LN(C23)</f>
        <v>1.3635373739972745</v>
      </c>
      <c r="H23">
        <f t="shared" si="3"/>
        <v>1.2145441640516064</v>
      </c>
    </row>
    <row r="24" spans="2:8" x14ac:dyDescent="0.25">
      <c r="B24">
        <v>4.1399999999999997</v>
      </c>
      <c r="C24">
        <v>4.1680000000000001</v>
      </c>
      <c r="D24">
        <f t="shared" ref="D24:D25" si="5">2*3.141592*SQRT(B24/9.81)</f>
        <v>4.0817410098374411</v>
      </c>
      <c r="F24">
        <f t="shared" si="2"/>
        <v>1.4206957878372228</v>
      </c>
      <c r="G24">
        <f>LN(C24)</f>
        <v>1.4274363044510658</v>
      </c>
      <c r="H24">
        <f t="shared" si="3"/>
        <v>1.406523615495207</v>
      </c>
    </row>
    <row r="25" spans="2:8" x14ac:dyDescent="0.25">
      <c r="B25">
        <v>7</v>
      </c>
      <c r="C25">
        <v>5.32</v>
      </c>
      <c r="D25">
        <f t="shared" si="5"/>
        <v>5.3075524463680246</v>
      </c>
      <c r="F25">
        <f t="shared" si="2"/>
        <v>1.9459101490553132</v>
      </c>
      <c r="G25">
        <f>LN(C25)</f>
        <v>1.6714733033535532</v>
      </c>
      <c r="H25">
        <f t="shared" si="3"/>
        <v>1.6691307961042521</v>
      </c>
    </row>
    <row r="43" spans="1:7" x14ac:dyDescent="0.25">
      <c r="B43" t="s">
        <v>77</v>
      </c>
      <c r="D43" t="s">
        <v>78</v>
      </c>
    </row>
    <row r="46" spans="1:7" x14ac:dyDescent="0.25">
      <c r="A46" t="s">
        <v>14</v>
      </c>
      <c r="B46" t="s">
        <v>15</v>
      </c>
      <c r="C46" t="s">
        <v>79</v>
      </c>
      <c r="D46" t="s">
        <v>80</v>
      </c>
      <c r="E46" t="s">
        <v>14</v>
      </c>
      <c r="F46" t="s">
        <v>81</v>
      </c>
    </row>
    <row r="47" spans="1:7" x14ac:dyDescent="0.25">
      <c r="A47">
        <v>0.5</v>
      </c>
      <c r="B47">
        <v>1.44</v>
      </c>
      <c r="C47">
        <f>B47/(2*3.14159263)</f>
        <v>0.22918311977323425</v>
      </c>
      <c r="D47">
        <f>C47^2</f>
        <v>5.2524902388992635E-2</v>
      </c>
      <c r="E47">
        <v>0.5</v>
      </c>
      <c r="F47">
        <f>A47/D47</f>
        <v>9.5192942253764627</v>
      </c>
      <c r="G47">
        <f>F47</f>
        <v>9.5192942253764627</v>
      </c>
    </row>
    <row r="48" spans="1:7" x14ac:dyDescent="0.25">
      <c r="A48">
        <v>1</v>
      </c>
      <c r="B48">
        <v>1.98</v>
      </c>
      <c r="C48">
        <f t="shared" ref="C48:C52" si="6">B48/(2*3.14159263)</f>
        <v>0.31512678968819713</v>
      </c>
      <c r="D48">
        <f>C48^2</f>
        <v>9.930489357918923E-2</v>
      </c>
      <c r="E48">
        <v>1</v>
      </c>
      <c r="F48">
        <f>A48/D48</f>
        <v>10.069997197092455</v>
      </c>
      <c r="G48">
        <f t="shared" ref="G48:G52" si="7">F48</f>
        <v>10.069997197092455</v>
      </c>
    </row>
    <row r="49" spans="1:7" x14ac:dyDescent="0.25">
      <c r="A49">
        <v>1.5</v>
      </c>
      <c r="B49">
        <v>2.5299999999999998</v>
      </c>
      <c r="C49">
        <f t="shared" si="6"/>
        <v>0.40266200904602961</v>
      </c>
      <c r="D49">
        <f>C49^2</f>
        <v>0.16213669352898483</v>
      </c>
      <c r="E49">
        <v>1.5</v>
      </c>
      <c r="F49">
        <f>A49/D49</f>
        <v>9.2514530014875884</v>
      </c>
      <c r="G49">
        <f t="shared" si="7"/>
        <v>9.2514530014875884</v>
      </c>
    </row>
    <row r="50" spans="1:7" x14ac:dyDescent="0.25">
      <c r="A50">
        <v>2.82</v>
      </c>
      <c r="B50">
        <v>3.91</v>
      </c>
      <c r="C50">
        <f t="shared" si="6"/>
        <v>0.62229583216204587</v>
      </c>
      <c r="D50">
        <f>C50^2</f>
        <v>0.38725210272625316</v>
      </c>
      <c r="E50">
        <v>2.82</v>
      </c>
      <c r="F50">
        <f>A50/D50</f>
        <v>7.2820779542505045</v>
      </c>
    </row>
    <row r="51" spans="1:7" x14ac:dyDescent="0.25">
      <c r="A51">
        <v>4.1399999999999997</v>
      </c>
      <c r="B51">
        <v>4.1680000000000001</v>
      </c>
      <c r="C51">
        <f t="shared" si="6"/>
        <v>0.66335780778808362</v>
      </c>
      <c r="D51">
        <f>C51^2</f>
        <v>0.44004358115341208</v>
      </c>
      <c r="E51">
        <v>4.1399999999999997</v>
      </c>
      <c r="F51">
        <f>A51/D51</f>
        <v>9.4081590490389964</v>
      </c>
      <c r="G51">
        <f t="shared" si="7"/>
        <v>9.4081590490389964</v>
      </c>
    </row>
    <row r="52" spans="1:7" x14ac:dyDescent="0.25">
      <c r="A52">
        <v>7</v>
      </c>
      <c r="B52">
        <v>5.32</v>
      </c>
      <c r="C52">
        <f t="shared" si="6"/>
        <v>0.84670430360667104</v>
      </c>
      <c r="D52">
        <f>C52^2</f>
        <v>0.71690817774605775</v>
      </c>
      <c r="E52">
        <v>7</v>
      </c>
      <c r="F52">
        <f>A52/D52</f>
        <v>9.7641514175606616</v>
      </c>
      <c r="G52">
        <f t="shared" si="7"/>
        <v>9.7641514175606616</v>
      </c>
    </row>
    <row r="53" spans="1:7" x14ac:dyDescent="0.25">
      <c r="F53">
        <f>AVERAGE(F47:F52)</f>
        <v>9.2158554741344449</v>
      </c>
      <c r="G53">
        <f>AVERAGE(G47:G52)</f>
        <v>9.6026109781112332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4" workbookViewId="0">
      <selection activeCell="B62" sqref="B62"/>
    </sheetView>
  </sheetViews>
  <sheetFormatPr defaultRowHeight="15" x14ac:dyDescent="0.25"/>
  <cols>
    <col min="1" max="1" width="9" customWidth="1"/>
    <col min="5" max="5" width="29.42578125" customWidth="1"/>
  </cols>
  <sheetData>
    <row r="1" spans="1:8" x14ac:dyDescent="0.25">
      <c r="A1" t="s">
        <v>41</v>
      </c>
      <c r="B1" t="s">
        <v>42</v>
      </c>
    </row>
    <row r="2" spans="1:8" x14ac:dyDescent="0.25">
      <c r="A2">
        <v>1001</v>
      </c>
      <c r="B2">
        <v>93</v>
      </c>
      <c r="E2" t="s">
        <v>52</v>
      </c>
    </row>
    <row r="3" spans="1:8" x14ac:dyDescent="0.25">
      <c r="A3">
        <v>1002</v>
      </c>
      <c r="B3">
        <v>83</v>
      </c>
    </row>
    <row r="4" spans="1:8" x14ac:dyDescent="0.25">
      <c r="A4">
        <v>1003</v>
      </c>
      <c r="B4">
        <v>86</v>
      </c>
      <c r="E4" s="5" t="s">
        <v>35</v>
      </c>
      <c r="F4">
        <f>_xlfn.STDEV.S(B2:B21)</f>
        <v>5.2505638794925238</v>
      </c>
    </row>
    <row r="5" spans="1:8" x14ac:dyDescent="0.25">
      <c r="A5">
        <v>1004</v>
      </c>
      <c r="B5">
        <v>91</v>
      </c>
      <c r="E5" s="6" t="s">
        <v>53</v>
      </c>
      <c r="F5">
        <f>COUNT(B2:B21)</f>
        <v>20</v>
      </c>
    </row>
    <row r="6" spans="1:8" x14ac:dyDescent="0.25">
      <c r="A6">
        <v>1005</v>
      </c>
      <c r="B6">
        <v>90</v>
      </c>
      <c r="E6" s="4" t="s">
        <v>54</v>
      </c>
      <c r="F6">
        <f>SQRT(F5)</f>
        <v>4.4721359549995796</v>
      </c>
    </row>
    <row r="7" spans="1:8" x14ac:dyDescent="0.25">
      <c r="A7">
        <v>1006</v>
      </c>
      <c r="B7">
        <v>89</v>
      </c>
      <c r="E7" s="3" t="s">
        <v>37</v>
      </c>
      <c r="F7">
        <f>F4/F6</f>
        <v>1.1740617754750298</v>
      </c>
      <c r="H7">
        <f>STDEV(B2:B21)/SQRT(COUNT(B2:B21))</f>
        <v>1.1740617754750298</v>
      </c>
    </row>
    <row r="8" spans="1:8" x14ac:dyDescent="0.25">
      <c r="A8">
        <v>1007</v>
      </c>
      <c r="B8">
        <v>78</v>
      </c>
    </row>
    <row r="9" spans="1:8" x14ac:dyDescent="0.25">
      <c r="A9">
        <v>1008</v>
      </c>
      <c r="B9">
        <v>83</v>
      </c>
      <c r="E9" s="9" t="s">
        <v>55</v>
      </c>
    </row>
    <row r="10" spans="1:8" x14ac:dyDescent="0.25">
      <c r="A10">
        <v>1009</v>
      </c>
      <c r="B10">
        <v>82</v>
      </c>
      <c r="E10" s="8" t="s">
        <v>56</v>
      </c>
      <c r="F10">
        <f>AVERAGE(B2:B21)+F7*1.96</f>
        <v>87.401161079931057</v>
      </c>
      <c r="H10" t="s">
        <v>58</v>
      </c>
    </row>
    <row r="11" spans="1:8" x14ac:dyDescent="0.25">
      <c r="A11">
        <v>1010</v>
      </c>
      <c r="B11">
        <v>79</v>
      </c>
      <c r="E11" s="7" t="s">
        <v>57</v>
      </c>
      <c r="F11">
        <f>AVERAGE(B2:B21)-F7*1.96</f>
        <v>82.798838920068931</v>
      </c>
      <c r="H11" t="s">
        <v>59</v>
      </c>
    </row>
    <row r="12" spans="1:8" x14ac:dyDescent="0.25">
      <c r="A12">
        <v>1011</v>
      </c>
      <c r="B12">
        <v>87</v>
      </c>
    </row>
    <row r="13" spans="1:8" x14ac:dyDescent="0.25">
      <c r="A13">
        <v>1012</v>
      </c>
      <c r="B13">
        <v>85</v>
      </c>
      <c r="E13" t="s">
        <v>51</v>
      </c>
    </row>
    <row r="14" spans="1:8" x14ac:dyDescent="0.25">
      <c r="A14">
        <v>1013</v>
      </c>
      <c r="B14">
        <v>83</v>
      </c>
    </row>
    <row r="15" spans="1:8" x14ac:dyDescent="0.25">
      <c r="A15">
        <v>1014</v>
      </c>
      <c r="B15">
        <v>80</v>
      </c>
      <c r="E15" s="5" t="s">
        <v>43</v>
      </c>
      <c r="F15">
        <f>_xlfn.STDEV.S(B2:B21)</f>
        <v>5.2505638794925238</v>
      </c>
    </row>
    <row r="16" spans="1:8" x14ac:dyDescent="0.25">
      <c r="A16">
        <v>1015</v>
      </c>
      <c r="B16">
        <v>84</v>
      </c>
      <c r="E16" s="6" t="s">
        <v>44</v>
      </c>
      <c r="F16">
        <f>COUNT(B2:B21)</f>
        <v>20</v>
      </c>
    </row>
    <row r="17" spans="1:8" x14ac:dyDescent="0.25">
      <c r="A17">
        <v>1016</v>
      </c>
      <c r="B17">
        <v>81</v>
      </c>
      <c r="E17" s="4" t="s">
        <v>45</v>
      </c>
      <c r="F17">
        <f>SQRT(F16)</f>
        <v>4.4721359549995796</v>
      </c>
    </row>
    <row r="18" spans="1:8" x14ac:dyDescent="0.25">
      <c r="A18">
        <v>1017</v>
      </c>
      <c r="B18">
        <v>76</v>
      </c>
      <c r="E18" s="3" t="s">
        <v>46</v>
      </c>
      <c r="F18">
        <f>F15/F17</f>
        <v>1.1740617754750298</v>
      </c>
      <c r="H18">
        <f>STDEV(B2:B21)/SQRT(COUNT(B2:B21))</f>
        <v>1.1740617754750298</v>
      </c>
    </row>
    <row r="19" spans="1:8" x14ac:dyDescent="0.25">
      <c r="A19">
        <v>1018</v>
      </c>
      <c r="B19">
        <v>85</v>
      </c>
    </row>
    <row r="20" spans="1:8" x14ac:dyDescent="0.25">
      <c r="A20">
        <v>1019</v>
      </c>
      <c r="B20">
        <v>92</v>
      </c>
      <c r="E20" s="9" t="s">
        <v>47</v>
      </c>
    </row>
    <row r="21" spans="1:8" x14ac:dyDescent="0.25">
      <c r="A21">
        <v>1020</v>
      </c>
      <c r="B21">
        <v>95</v>
      </c>
      <c r="E21" s="8" t="s">
        <v>48</v>
      </c>
      <c r="F21">
        <f>AVERAGE(B2:B21)+F18*1.96</f>
        <v>87.401161079931057</v>
      </c>
    </row>
    <row r="22" spans="1:8" x14ac:dyDescent="0.25">
      <c r="A22" t="s">
        <v>50</v>
      </c>
      <c r="B22">
        <f>AVERAGE(B2:B21)</f>
        <v>85.1</v>
      </c>
      <c r="E22" s="7" t="s">
        <v>49</v>
      </c>
      <c r="F22">
        <f>AVERAGE(B2:B21)-F18*1.96</f>
        <v>82.798838920068931</v>
      </c>
    </row>
    <row r="23" spans="1:8" x14ac:dyDescent="0.25">
      <c r="A23" t="s">
        <v>60</v>
      </c>
      <c r="B23">
        <f>MIN(B2:B21)</f>
        <v>76</v>
      </c>
    </row>
    <row r="24" spans="1:8" x14ac:dyDescent="0.25">
      <c r="A24" t="s">
        <v>61</v>
      </c>
      <c r="B24">
        <f>MAX(B2:B21)</f>
        <v>95</v>
      </c>
    </row>
    <row r="25" spans="1:8" x14ac:dyDescent="0.25">
      <c r="A25" t="s">
        <v>66</v>
      </c>
      <c r="B25">
        <f>B24-B23</f>
        <v>19</v>
      </c>
      <c r="F25" t="s">
        <v>68</v>
      </c>
      <c r="G25" t="s">
        <v>69</v>
      </c>
      <c r="H25" t="s">
        <v>70</v>
      </c>
    </row>
    <row r="26" spans="1:8" x14ac:dyDescent="0.25">
      <c r="A26" t="s">
        <v>63</v>
      </c>
      <c r="C26" t="s">
        <v>65</v>
      </c>
      <c r="D26" t="s">
        <v>67</v>
      </c>
      <c r="F26" t="s">
        <v>62</v>
      </c>
      <c r="G26" t="s">
        <v>71</v>
      </c>
      <c r="H26" t="s">
        <v>72</v>
      </c>
    </row>
    <row r="27" spans="1:8" x14ac:dyDescent="0.25">
      <c r="A27">
        <v>20</v>
      </c>
      <c r="B27" t="s">
        <v>64</v>
      </c>
      <c r="G27">
        <v>0</v>
      </c>
      <c r="H27">
        <v>0</v>
      </c>
    </row>
    <row r="28" spans="1:8" x14ac:dyDescent="0.25">
      <c r="A28">
        <v>0</v>
      </c>
      <c r="B28">
        <f>A28/$A$27</f>
        <v>0</v>
      </c>
      <c r="C28">
        <f>76+B28*$B$25</f>
        <v>76</v>
      </c>
      <c r="D28">
        <f>COUNTIF($B$2:$B$21, "&lt;=" &amp; C28)</f>
        <v>1</v>
      </c>
      <c r="F28">
        <f>A28</f>
        <v>0</v>
      </c>
      <c r="G28">
        <f>D28</f>
        <v>1</v>
      </c>
      <c r="H28">
        <f>G28-G27</f>
        <v>1</v>
      </c>
    </row>
    <row r="29" spans="1:8" x14ac:dyDescent="0.25">
      <c r="A29">
        <v>1</v>
      </c>
      <c r="B29">
        <f t="shared" ref="B29:B48" si="0">A29/$A$27</f>
        <v>0.05</v>
      </c>
      <c r="C29">
        <f t="shared" ref="C29:C48" si="1">76+B29*$B$25</f>
        <v>76.95</v>
      </c>
      <c r="D29">
        <f t="shared" ref="D29:D48" si="2">COUNTIF($B$2:$B$21, "&lt;=" &amp; C29)</f>
        <v>1</v>
      </c>
      <c r="F29">
        <f t="shared" ref="F29:F48" si="3">A29</f>
        <v>1</v>
      </c>
      <c r="G29">
        <f t="shared" ref="G29:G48" si="4">D29</f>
        <v>1</v>
      </c>
      <c r="H29">
        <f t="shared" ref="H29:H48" si="5">G29-G28</f>
        <v>0</v>
      </c>
    </row>
    <row r="30" spans="1:8" x14ac:dyDescent="0.25">
      <c r="A30">
        <v>2</v>
      </c>
      <c r="B30">
        <f t="shared" si="0"/>
        <v>0.1</v>
      </c>
      <c r="C30">
        <f t="shared" si="1"/>
        <v>77.900000000000006</v>
      </c>
      <c r="D30">
        <f t="shared" si="2"/>
        <v>1</v>
      </c>
      <c r="F30">
        <f t="shared" si="3"/>
        <v>2</v>
      </c>
      <c r="G30">
        <f t="shared" si="4"/>
        <v>1</v>
      </c>
      <c r="H30">
        <f t="shared" si="5"/>
        <v>0</v>
      </c>
    </row>
    <row r="31" spans="1:8" x14ac:dyDescent="0.25">
      <c r="A31">
        <v>3</v>
      </c>
      <c r="B31">
        <f t="shared" si="0"/>
        <v>0.15</v>
      </c>
      <c r="C31">
        <f t="shared" si="1"/>
        <v>78.849999999999994</v>
      </c>
      <c r="D31">
        <f t="shared" si="2"/>
        <v>2</v>
      </c>
      <c r="F31">
        <f t="shared" si="3"/>
        <v>3</v>
      </c>
      <c r="G31">
        <f t="shared" si="4"/>
        <v>2</v>
      </c>
      <c r="H31">
        <f t="shared" si="5"/>
        <v>1</v>
      </c>
    </row>
    <row r="32" spans="1:8" x14ac:dyDescent="0.25">
      <c r="A32">
        <v>4</v>
      </c>
      <c r="B32">
        <f t="shared" si="0"/>
        <v>0.2</v>
      </c>
      <c r="C32">
        <f t="shared" si="1"/>
        <v>79.8</v>
      </c>
      <c r="D32">
        <f t="shared" si="2"/>
        <v>3</v>
      </c>
      <c r="F32">
        <f t="shared" si="3"/>
        <v>4</v>
      </c>
      <c r="G32">
        <f t="shared" si="4"/>
        <v>3</v>
      </c>
      <c r="H32">
        <f t="shared" si="5"/>
        <v>1</v>
      </c>
    </row>
    <row r="33" spans="1:8" x14ac:dyDescent="0.25">
      <c r="A33">
        <v>5</v>
      </c>
      <c r="B33">
        <f t="shared" si="0"/>
        <v>0.25</v>
      </c>
      <c r="C33">
        <f t="shared" si="1"/>
        <v>80.75</v>
      </c>
      <c r="D33">
        <f t="shared" si="2"/>
        <v>4</v>
      </c>
      <c r="F33">
        <f t="shared" si="3"/>
        <v>5</v>
      </c>
      <c r="G33">
        <f t="shared" si="4"/>
        <v>4</v>
      </c>
      <c r="H33">
        <f t="shared" si="5"/>
        <v>1</v>
      </c>
    </row>
    <row r="34" spans="1:8" x14ac:dyDescent="0.25">
      <c r="A34">
        <v>6</v>
      </c>
      <c r="B34">
        <f t="shared" si="0"/>
        <v>0.3</v>
      </c>
      <c r="C34">
        <f t="shared" si="1"/>
        <v>81.7</v>
      </c>
      <c r="D34">
        <f t="shared" si="2"/>
        <v>5</v>
      </c>
      <c r="F34">
        <f t="shared" si="3"/>
        <v>6</v>
      </c>
      <c r="G34">
        <f t="shared" si="4"/>
        <v>5</v>
      </c>
      <c r="H34">
        <f t="shared" si="5"/>
        <v>1</v>
      </c>
    </row>
    <row r="35" spans="1:8" x14ac:dyDescent="0.25">
      <c r="A35">
        <v>7</v>
      </c>
      <c r="B35">
        <f t="shared" si="0"/>
        <v>0.35</v>
      </c>
      <c r="C35">
        <f t="shared" si="1"/>
        <v>82.65</v>
      </c>
      <c r="D35">
        <f t="shared" si="2"/>
        <v>6</v>
      </c>
      <c r="F35">
        <f t="shared" si="3"/>
        <v>7</v>
      </c>
      <c r="G35">
        <f t="shared" si="4"/>
        <v>6</v>
      </c>
      <c r="H35">
        <f t="shared" si="5"/>
        <v>1</v>
      </c>
    </row>
    <row r="36" spans="1:8" x14ac:dyDescent="0.25">
      <c r="A36">
        <v>8</v>
      </c>
      <c r="B36">
        <f t="shared" si="0"/>
        <v>0.4</v>
      </c>
      <c r="C36">
        <f t="shared" si="1"/>
        <v>83.6</v>
      </c>
      <c r="D36">
        <f t="shared" si="2"/>
        <v>9</v>
      </c>
      <c r="F36">
        <f t="shared" si="3"/>
        <v>8</v>
      </c>
      <c r="G36">
        <f t="shared" si="4"/>
        <v>9</v>
      </c>
      <c r="H36">
        <f t="shared" si="5"/>
        <v>3</v>
      </c>
    </row>
    <row r="37" spans="1:8" x14ac:dyDescent="0.25">
      <c r="A37">
        <v>9</v>
      </c>
      <c r="B37">
        <f t="shared" si="0"/>
        <v>0.45</v>
      </c>
      <c r="C37">
        <f t="shared" si="1"/>
        <v>84.55</v>
      </c>
      <c r="D37">
        <f t="shared" si="2"/>
        <v>10</v>
      </c>
      <c r="F37">
        <f t="shared" si="3"/>
        <v>9</v>
      </c>
      <c r="G37">
        <f t="shared" si="4"/>
        <v>10</v>
      </c>
      <c r="H37">
        <f t="shared" si="5"/>
        <v>1</v>
      </c>
    </row>
    <row r="38" spans="1:8" x14ac:dyDescent="0.25">
      <c r="A38">
        <v>10</v>
      </c>
      <c r="B38">
        <f t="shared" si="0"/>
        <v>0.5</v>
      </c>
      <c r="C38">
        <f t="shared" si="1"/>
        <v>85.5</v>
      </c>
      <c r="D38">
        <f t="shared" si="2"/>
        <v>12</v>
      </c>
      <c r="F38">
        <f t="shared" si="3"/>
        <v>10</v>
      </c>
      <c r="G38">
        <f t="shared" si="4"/>
        <v>12</v>
      </c>
      <c r="H38">
        <f t="shared" si="5"/>
        <v>2</v>
      </c>
    </row>
    <row r="39" spans="1:8" x14ac:dyDescent="0.25">
      <c r="A39">
        <v>11</v>
      </c>
      <c r="B39">
        <f t="shared" si="0"/>
        <v>0.55000000000000004</v>
      </c>
      <c r="C39">
        <f t="shared" si="1"/>
        <v>86.45</v>
      </c>
      <c r="D39">
        <f t="shared" si="2"/>
        <v>13</v>
      </c>
      <c r="F39">
        <f t="shared" si="3"/>
        <v>11</v>
      </c>
      <c r="G39">
        <f t="shared" si="4"/>
        <v>13</v>
      </c>
      <c r="H39">
        <f t="shared" si="5"/>
        <v>1</v>
      </c>
    </row>
    <row r="40" spans="1:8" x14ac:dyDescent="0.25">
      <c r="A40">
        <v>12</v>
      </c>
      <c r="B40">
        <f t="shared" si="0"/>
        <v>0.6</v>
      </c>
      <c r="C40">
        <f t="shared" si="1"/>
        <v>87.4</v>
      </c>
      <c r="D40">
        <f t="shared" si="2"/>
        <v>14</v>
      </c>
      <c r="F40">
        <f t="shared" si="3"/>
        <v>12</v>
      </c>
      <c r="G40">
        <f t="shared" si="4"/>
        <v>14</v>
      </c>
      <c r="H40">
        <f t="shared" si="5"/>
        <v>1</v>
      </c>
    </row>
    <row r="41" spans="1:8" x14ac:dyDescent="0.25">
      <c r="A41">
        <v>13</v>
      </c>
      <c r="B41">
        <f t="shared" si="0"/>
        <v>0.65</v>
      </c>
      <c r="C41">
        <f t="shared" si="1"/>
        <v>88.35</v>
      </c>
      <c r="D41">
        <f t="shared" si="2"/>
        <v>14</v>
      </c>
      <c r="F41">
        <f t="shared" si="3"/>
        <v>13</v>
      </c>
      <c r="G41">
        <f t="shared" si="4"/>
        <v>14</v>
      </c>
      <c r="H41">
        <f t="shared" si="5"/>
        <v>0</v>
      </c>
    </row>
    <row r="42" spans="1:8" x14ac:dyDescent="0.25">
      <c r="A42">
        <v>14</v>
      </c>
      <c r="B42">
        <f t="shared" si="0"/>
        <v>0.7</v>
      </c>
      <c r="C42">
        <f t="shared" si="1"/>
        <v>89.3</v>
      </c>
      <c r="D42">
        <f t="shared" si="2"/>
        <v>15</v>
      </c>
      <c r="F42">
        <f t="shared" si="3"/>
        <v>14</v>
      </c>
      <c r="G42">
        <f t="shared" si="4"/>
        <v>15</v>
      </c>
      <c r="H42">
        <f t="shared" si="5"/>
        <v>1</v>
      </c>
    </row>
    <row r="43" spans="1:8" x14ac:dyDescent="0.25">
      <c r="A43">
        <v>15</v>
      </c>
      <c r="B43">
        <f t="shared" si="0"/>
        <v>0.75</v>
      </c>
      <c r="C43">
        <f t="shared" si="1"/>
        <v>90.25</v>
      </c>
      <c r="D43">
        <f t="shared" si="2"/>
        <v>16</v>
      </c>
      <c r="F43">
        <f t="shared" si="3"/>
        <v>15</v>
      </c>
      <c r="G43">
        <f t="shared" si="4"/>
        <v>16</v>
      </c>
      <c r="H43">
        <f t="shared" si="5"/>
        <v>1</v>
      </c>
    </row>
    <row r="44" spans="1:8" x14ac:dyDescent="0.25">
      <c r="A44">
        <v>16</v>
      </c>
      <c r="B44">
        <f t="shared" si="0"/>
        <v>0.8</v>
      </c>
      <c r="C44">
        <f t="shared" si="1"/>
        <v>91.2</v>
      </c>
      <c r="D44">
        <f t="shared" si="2"/>
        <v>17</v>
      </c>
      <c r="F44">
        <f t="shared" si="3"/>
        <v>16</v>
      </c>
      <c r="G44">
        <f t="shared" si="4"/>
        <v>17</v>
      </c>
      <c r="H44">
        <f t="shared" si="5"/>
        <v>1</v>
      </c>
    </row>
    <row r="45" spans="1:8" x14ac:dyDescent="0.25">
      <c r="A45">
        <v>17</v>
      </c>
      <c r="B45">
        <f t="shared" si="0"/>
        <v>0.85</v>
      </c>
      <c r="C45">
        <f t="shared" si="1"/>
        <v>92.15</v>
      </c>
      <c r="D45">
        <f t="shared" si="2"/>
        <v>18</v>
      </c>
      <c r="F45">
        <f t="shared" si="3"/>
        <v>17</v>
      </c>
      <c r="G45">
        <f t="shared" si="4"/>
        <v>18</v>
      </c>
      <c r="H45">
        <f t="shared" si="5"/>
        <v>1</v>
      </c>
    </row>
    <row r="46" spans="1:8" x14ac:dyDescent="0.25">
      <c r="A46">
        <v>18</v>
      </c>
      <c r="B46">
        <f t="shared" si="0"/>
        <v>0.9</v>
      </c>
      <c r="C46">
        <f t="shared" si="1"/>
        <v>93.1</v>
      </c>
      <c r="D46">
        <f t="shared" si="2"/>
        <v>19</v>
      </c>
      <c r="F46">
        <f t="shared" si="3"/>
        <v>18</v>
      </c>
      <c r="G46">
        <f t="shared" si="4"/>
        <v>19</v>
      </c>
      <c r="H46">
        <f t="shared" si="5"/>
        <v>1</v>
      </c>
    </row>
    <row r="47" spans="1:8" x14ac:dyDescent="0.25">
      <c r="A47">
        <v>19</v>
      </c>
      <c r="B47">
        <f t="shared" si="0"/>
        <v>0.95</v>
      </c>
      <c r="C47">
        <f t="shared" si="1"/>
        <v>94.05</v>
      </c>
      <c r="D47">
        <f t="shared" si="2"/>
        <v>19</v>
      </c>
      <c r="F47">
        <f t="shared" si="3"/>
        <v>19</v>
      </c>
      <c r="G47">
        <f t="shared" si="4"/>
        <v>19</v>
      </c>
      <c r="H47">
        <f t="shared" si="5"/>
        <v>0</v>
      </c>
    </row>
    <row r="48" spans="1:8" x14ac:dyDescent="0.25">
      <c r="A48">
        <v>20</v>
      </c>
      <c r="B48">
        <f t="shared" si="0"/>
        <v>1</v>
      </c>
      <c r="C48">
        <f t="shared" si="1"/>
        <v>95</v>
      </c>
      <c r="D48">
        <f t="shared" si="2"/>
        <v>20</v>
      </c>
      <c r="F48">
        <f t="shared" si="3"/>
        <v>20</v>
      </c>
      <c r="G48">
        <f t="shared" si="4"/>
        <v>20</v>
      </c>
      <c r="H48">
        <f t="shared" si="5"/>
        <v>1</v>
      </c>
    </row>
    <row r="51" spans="3:5" x14ac:dyDescent="0.25">
      <c r="C51" t="s">
        <v>73</v>
      </c>
      <c r="E51" s="2" t="s">
        <v>74</v>
      </c>
    </row>
  </sheetData>
  <hyperlinks>
    <hyperlink ref="E51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Mittaus</vt:lpstr>
      <vt:lpstr>Heilahdusaika</vt:lpstr>
      <vt:lpstr>Tilastoja</vt:lpstr>
    </vt:vector>
  </TitlesOfParts>
  <Company>University of Eastern Finland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Juha-Matti Huusko</dc:creator>
  <cp:lastModifiedBy>Juha-Matti Huusko</cp:lastModifiedBy>
  <dcterms:created xsi:type="dcterms:W3CDTF">2017-11-28T14:28:33Z</dcterms:created>
  <dcterms:modified xsi:type="dcterms:W3CDTF">2017-12-12T13:41:18Z</dcterms:modified>
</cp:coreProperties>
</file>