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20042\Downloads\"/>
    </mc:Choice>
  </mc:AlternateContent>
  <bookViews>
    <workbookView xWindow="0" yWindow="0" windowWidth="21570" windowHeight="8055" activeTab="2"/>
  </bookViews>
  <sheets>
    <sheet name="Mittaus" sheetId="1" r:id="rId1"/>
    <sheet name="Heilahdusaika" sheetId="2" r:id="rId2"/>
    <sheet name="Tunnuslukuj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F7" i="3"/>
  <c r="F4" i="3"/>
  <c r="F15" i="1"/>
  <c r="I13" i="1"/>
  <c r="G20" i="1"/>
  <c r="F22" i="2" l="1"/>
  <c r="G22" i="2"/>
  <c r="F23" i="2"/>
  <c r="G23" i="2"/>
  <c r="F24" i="2"/>
  <c r="G24" i="2"/>
  <c r="F25" i="2"/>
  <c r="G25" i="2"/>
  <c r="F26" i="2"/>
  <c r="G26" i="2"/>
  <c r="G21" i="2"/>
  <c r="F21" i="2"/>
  <c r="D52" i="2" s="1"/>
  <c r="D22" i="2"/>
  <c r="H22" i="2" s="1"/>
  <c r="C60" i="2" l="1"/>
  <c r="D60" i="2" s="1"/>
  <c r="F60" i="2" s="1"/>
  <c r="G60" i="2" s="1"/>
  <c r="C61" i="2"/>
  <c r="D61" i="2" s="1"/>
  <c r="F61" i="2" s="1"/>
  <c r="G61" i="2" s="1"/>
  <c r="C62" i="2"/>
  <c r="D62" i="2" s="1"/>
  <c r="F62" i="2" s="1"/>
  <c r="C63" i="2"/>
  <c r="D63" i="2" s="1"/>
  <c r="F63" i="2" s="1"/>
  <c r="G63" i="2" s="1"/>
  <c r="C64" i="2"/>
  <c r="D64" i="2" s="1"/>
  <c r="F64" i="2" s="1"/>
  <c r="G64" i="2" s="1"/>
  <c r="C59" i="2"/>
  <c r="D59" i="2" s="1"/>
  <c r="F59" i="2" s="1"/>
  <c r="F65" i="2" l="1"/>
  <c r="G59" i="2"/>
  <c r="G65" i="2" s="1"/>
  <c r="H28" i="3" l="1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28" i="3"/>
  <c r="B25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4" i="3"/>
  <c r="B23" i="3"/>
  <c r="F11" i="3"/>
  <c r="F10" i="3"/>
  <c r="H7" i="3"/>
  <c r="F5" i="3"/>
  <c r="F6" i="3" s="1"/>
  <c r="B22" i="3"/>
  <c r="H18" i="3"/>
  <c r="F17" i="3"/>
  <c r="F18" i="3" s="1"/>
  <c r="F16" i="3"/>
  <c r="F15" i="3"/>
  <c r="G15" i="1"/>
  <c r="D16" i="1"/>
  <c r="C17" i="1"/>
  <c r="F16" i="1"/>
  <c r="D15" i="1"/>
  <c r="D25" i="2"/>
  <c r="H25" i="2" s="1"/>
  <c r="D24" i="2"/>
  <c r="H24" i="2" s="1"/>
  <c r="D26" i="2"/>
  <c r="H26" i="2" s="1"/>
  <c r="D21" i="2"/>
  <c r="H21" i="2" s="1"/>
  <c r="D23" i="2"/>
  <c r="H23" i="2" s="1"/>
  <c r="C15" i="1"/>
  <c r="E7" i="1" s="1"/>
  <c r="G7" i="1" s="1"/>
  <c r="F22" i="3" l="1"/>
  <c r="F21" i="3"/>
  <c r="E6" i="1"/>
  <c r="G6" i="1" s="1"/>
  <c r="E10" i="1"/>
  <c r="E8" i="1"/>
  <c r="G8" i="1" s="1"/>
  <c r="E14" i="1"/>
  <c r="E12" i="1"/>
  <c r="D24" i="1"/>
  <c r="D25" i="1" s="1"/>
  <c r="D26" i="1" s="1"/>
  <c r="E13" i="1"/>
  <c r="E9" i="1"/>
  <c r="E5" i="1"/>
  <c r="E11" i="1"/>
  <c r="F5" i="1" l="1"/>
  <c r="G5" i="1"/>
  <c r="F10" i="1"/>
  <c r="G10" i="1"/>
  <c r="F12" i="1"/>
  <c r="G12" i="1"/>
  <c r="F9" i="1"/>
  <c r="G9" i="1"/>
  <c r="F14" i="1"/>
  <c r="G14" i="1"/>
  <c r="F11" i="1"/>
  <c r="G11" i="1"/>
  <c r="F13" i="1"/>
  <c r="G13" i="1"/>
  <c r="F7" i="1"/>
  <c r="F8" i="1"/>
  <c r="F6" i="1"/>
  <c r="F24" i="1" l="1"/>
  <c r="F25" i="1" s="1"/>
  <c r="F26" i="1" s="1"/>
</calcChain>
</file>

<file path=xl/sharedStrings.xml><?xml version="1.0" encoding="utf-8"?>
<sst xmlns="http://schemas.openxmlformats.org/spreadsheetml/2006/main" count="121" uniqueCount="115">
  <si>
    <t>Heilurimittauksia</t>
  </si>
  <si>
    <t>Mittaus</t>
  </si>
  <si>
    <t>s</t>
  </si>
  <si>
    <t>Aika [s]</t>
  </si>
  <si>
    <t>Keskiarvo</t>
  </si>
  <si>
    <t>Siis mitattiin heilahdusajaksi:</t>
  </si>
  <si>
    <t>±</t>
  </si>
  <si>
    <t>Pyöristettynä:</t>
  </si>
  <si>
    <t>iso ero!</t>
  </si>
  <si>
    <t>1/0</t>
  </si>
  <si>
    <t>Pituus L [m]</t>
  </si>
  <si>
    <t>Aika T [s]</t>
  </si>
  <si>
    <t>L</t>
  </si>
  <si>
    <t>T</t>
  </si>
  <si>
    <t>ln(L)</t>
  </si>
  <si>
    <t>ln(T)</t>
  </si>
  <si>
    <t>ln(T0)</t>
  </si>
  <si>
    <t>Ero</t>
  </si>
  <si>
    <t>Virhe</t>
  </si>
  <si>
    <t>https://www.youtube.com/watch?v=aBXJnvQ6KFk</t>
  </si>
  <si>
    <t>Dev^2</t>
  </si>
  <si>
    <t>Ero^2</t>
  </si>
  <si>
    <t>[sum Dev^2/(n-1)]^0.5</t>
  </si>
  <si>
    <t>Standard deviation SD</t>
  </si>
  <si>
    <t>Standard error of the mean SEM</t>
  </si>
  <si>
    <t>SD/SQRT(n)</t>
  </si>
  <si>
    <t>Heilahduksia k</t>
  </si>
  <si>
    <t>Mittauksia n</t>
  </si>
  <si>
    <t>SD-excel</t>
  </si>
  <si>
    <t>Deviation</t>
  </si>
  <si>
    <t>Otoshajonta</t>
  </si>
  <si>
    <t>https://fi.wikipedia.org/wiki/Hajontaluku#Otoshajonta</t>
  </si>
  <si>
    <t>Otosvarianssi</t>
  </si>
  <si>
    <t>sum Dev^2/n-1</t>
  </si>
  <si>
    <t>n-1</t>
  </si>
  <si>
    <t>Kaava</t>
  </si>
  <si>
    <t>ID</t>
  </si>
  <si>
    <t>Pisteet</t>
  </si>
  <si>
    <t>Standard Deviation</t>
  </si>
  <si>
    <t>Sample Size</t>
  </si>
  <si>
    <t>Square Root of the Sample Size</t>
  </si>
  <si>
    <t>Standard Error of the Mean</t>
  </si>
  <si>
    <t>95% Confidence Interval</t>
  </si>
  <si>
    <t>Upper Limit</t>
  </si>
  <si>
    <t>Lower Limit</t>
  </si>
  <si>
    <t>keskiarvo</t>
  </si>
  <si>
    <t>Englanniksi:</t>
  </si>
  <si>
    <t>Suomeksi:</t>
  </si>
  <si>
    <t>Otoskoko</t>
  </si>
  <si>
    <t>Otoskoon neliöjuuri</t>
  </si>
  <si>
    <t>95% Luottamusväli</t>
  </si>
  <si>
    <t>Yläraja</t>
  </si>
  <si>
    <t>Alaraja</t>
  </si>
  <si>
    <t>&lt;- tässä keskiarvo - otosvarianssi*1,92</t>
  </si>
  <si>
    <t>epäsymmetrinen jakauma =&gt; kaava muuttuu</t>
  </si>
  <si>
    <t>minimi</t>
  </si>
  <si>
    <t>maksimi</t>
  </si>
  <si>
    <t>muuttuja</t>
  </si>
  <si>
    <t>askeleita</t>
  </si>
  <si>
    <t>n/askel</t>
  </si>
  <si>
    <t>skaala</t>
  </si>
  <si>
    <t>ero</t>
  </si>
  <si>
    <t>alle</t>
  </si>
  <si>
    <t>x</t>
  </si>
  <si>
    <t>y</t>
  </si>
  <si>
    <t>"y2-y1"</t>
  </si>
  <si>
    <t>kertymäfunktio</t>
  </si>
  <si>
    <t>tiheysfunktio</t>
  </si>
  <si>
    <t>count cells less than</t>
  </si>
  <si>
    <t>https://exceljet.net/formula/count-cells-less-than</t>
  </si>
  <si>
    <t>Teoreettinen kaava =&gt;</t>
  </si>
  <si>
    <t>L=(T/2*pi)^2*g</t>
  </si>
  <si>
    <t>T/2*pi</t>
  </si>
  <si>
    <t>(T/2*pi)^2</t>
  </si>
  <si>
    <t>L/(T/2*pi)^2</t>
  </si>
  <si>
    <t>Voidaan osoittaa, että</t>
  </si>
  <si>
    <t>VOE</t>
  </si>
  <si>
    <t>* heilahdusaika ei riipu punnuksen massasta</t>
  </si>
  <si>
    <t>Matemaattisessa heilurissa punnus roikkuu massattoman narun (pituus L) päässä.</t>
  </si>
  <si>
    <r>
      <t xml:space="preserve">* heilahdusaika T kasvaa, kun langan pituus L kasvaa </t>
    </r>
    <r>
      <rPr>
        <b/>
        <sz val="11"/>
        <color rgb="FFC00000"/>
        <rFont val="Calibri"/>
        <family val="2"/>
        <scheme val="minor"/>
      </rPr>
      <t>=&gt; mutta millainen tämä riippuvuus on?</t>
    </r>
  </si>
  <si>
    <t>Teoreettiset laskelmat osoittavat, että tulisi päteä kaava</t>
  </si>
  <si>
    <t>missä</t>
  </si>
  <si>
    <t>T=heilahdusaika</t>
  </si>
  <si>
    <t>π=3,14159362</t>
  </si>
  <si>
    <t>L=langan pituus</t>
  </si>
  <si>
    <t>m/s^2</t>
  </si>
  <si>
    <t>g=maan putoamiskiihtyvyys</t>
  </si>
  <si>
    <t>T0 [s]</t>
  </si>
  <si>
    <r>
      <t xml:space="preserve">Vinkki: mittaile, maalaa hiirellä, </t>
    </r>
    <r>
      <rPr>
        <b/>
        <sz val="11"/>
        <color rgb="FFC00000"/>
        <rFont val="Calibri"/>
        <family val="2"/>
        <scheme val="minor"/>
      </rPr>
      <t>"sort smallest to largest"</t>
    </r>
  </si>
  <si>
    <t>Kokeellinen</t>
  </si>
  <si>
    <t>Teoreettinen</t>
  </si>
  <si>
    <t>Piirretään kuva</t>
  </si>
  <si>
    <t>Maalaa alue, "Insert =&gt; Charts =&gt; Scatter"</t>
  </si>
  <si>
    <t>Testataan kaavaa kokeellisesti:</t>
  </si>
  <si>
    <t>Tästä saadaan kaavat</t>
  </si>
  <si>
    <t>T=2*pi*sqrt(L/g)</t>
  </si>
  <si>
    <t>ja</t>
  </si>
  <si>
    <t>g</t>
  </si>
  <si>
    <t>hylätäänkö?</t>
  </si>
  <si>
    <t>ln(T)=ln(*pi)+0.5*ln(L)-0.5*ln(g)</t>
  </si>
  <si>
    <t>Mittauksia voidaan käyttää myös vakion g arvon määrittämiseen</t>
  </si>
  <si>
    <t>L=(T/2*pi)^2*g, siis muotoa y=ax+b</t>
  </si>
  <si>
    <t>=&gt; sovitetaan suora!</t>
  </si>
  <si>
    <t>Laskeskellaan aputuloksia</t>
  </si>
  <si>
    <t>Logaritmikuvaajassa voidaan tarkastella suoralle asettumista, ottamalla korrelaatio</t>
  </si>
  <si>
    <t>"=correl(array1;array2)"</t>
  </si>
  <si>
    <t xml:space="preserve">Korrelaatio on luku väliltä [-1,1]. </t>
  </si>
  <si>
    <t>Lähes 1 =&gt; samalla suoralla</t>
  </si>
  <si>
    <t>Lähes -1 =&gt; suoralla</t>
  </si>
  <si>
    <t>Lähes 0 =&gt; "ei riippuvuutta"</t>
  </si>
  <si>
    <t>riippuvat toisistaan suoraan / "korreloivat"</t>
  </si>
  <si>
    <t>Nyt korrelaatio on</t>
  </si>
  <si>
    <t>"vahva korrelaatio", no tottakai suora on helppo sovittaa 6 pisteen joukkoon</t>
  </si>
  <si>
    <t>"=STDEV.S(D5:D14)"</t>
  </si>
  <si>
    <t>Mittauspöytäkirja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</si>
</sst>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7" borderId="0" xfId="0" applyFont="1" applyFill="1"/>
    <xf numFmtId="0" fontId="0" fillId="8" borderId="0" xfId="0" applyFill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7" fillId="0" borderId="0" xfId="0" applyFont="1"/>
    <xf numFmtId="0" fontId="0" fillId="0" borderId="0" xfId="0" applyFon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Sovitus:</a:t>
            </a:r>
            <a:r>
              <a:rPr lang="en-US" baseline="0"/>
              <a:t> p</a:t>
            </a:r>
            <a:r>
              <a:rPr lang="en-US"/>
              <a:t>utoamiskiihtyvyys</a:t>
            </a:r>
            <a:r>
              <a:rPr lang="en-US" baseline="0"/>
              <a:t> 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Heilahdusaika!$E$58</c:f>
              <c:strCache>
                <c:ptCount val="1"/>
                <c:pt idx="0">
                  <c:v>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Heilahdusaika!$D$59:$D$64</c:f>
              <c:numCache>
                <c:formatCode>General</c:formatCode>
                <c:ptCount val="6"/>
                <c:pt idx="0">
                  <c:v>5.2524902388992635E-2</c:v>
                </c:pt>
                <c:pt idx="1">
                  <c:v>9.930489357918923E-2</c:v>
                </c:pt>
                <c:pt idx="2">
                  <c:v>0.16213669352898483</c:v>
                </c:pt>
                <c:pt idx="3">
                  <c:v>0.38725210272625316</c:v>
                </c:pt>
                <c:pt idx="4">
                  <c:v>0.44004358115341208</c:v>
                </c:pt>
                <c:pt idx="5">
                  <c:v>0.71690817774605775</c:v>
                </c:pt>
              </c:numCache>
            </c:numRef>
          </c:xVal>
          <c:yVal>
            <c:numRef>
              <c:f>Heilahdusaika!$E$59:$E$64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0-436B-AA06-1F808F363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798344"/>
        <c:axId val="309799984"/>
      </c:scatterChart>
      <c:valAx>
        <c:axId val="309798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799984"/>
        <c:crosses val="autoZero"/>
        <c:crossBetween val="midCat"/>
      </c:valAx>
      <c:valAx>
        <c:axId val="30979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9798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Kokeellinen ja teoreettinen</a:t>
            </a:r>
            <a:r>
              <a:rPr lang="fi-FI" baseline="0"/>
              <a:t> heilahdusaika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Heilahdusaika!$C$20</c:f>
              <c:strCache>
                <c:ptCount val="1"/>
                <c:pt idx="0">
                  <c:v>Kokeellinen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Heilahdusaika!$B$21:$B$26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xVal>
          <c:yVal>
            <c:numRef>
              <c:f>Heilahdusaika!$C$21:$C$26</c:f>
              <c:numCache>
                <c:formatCode>General</c:formatCode>
                <c:ptCount val="6"/>
                <c:pt idx="0">
                  <c:v>1.44</c:v>
                </c:pt>
                <c:pt idx="1">
                  <c:v>1.98</c:v>
                </c:pt>
                <c:pt idx="2">
                  <c:v>2.5299999999999998</c:v>
                </c:pt>
                <c:pt idx="3">
                  <c:v>3.91</c:v>
                </c:pt>
                <c:pt idx="4">
                  <c:v>4.1680000000000001</c:v>
                </c:pt>
                <c:pt idx="5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0-42AC-9620-C3F85345E67E}"/>
            </c:ext>
          </c:extLst>
        </c:ser>
        <c:ser>
          <c:idx val="1"/>
          <c:order val="1"/>
          <c:tx>
            <c:strRef>
              <c:f>Heilahdusaika!$D$20</c:f>
              <c:strCache>
                <c:ptCount val="1"/>
                <c:pt idx="0">
                  <c:v>Teoreettinen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Heilahdusaika!$B$21:$B$26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xVal>
          <c:yVal>
            <c:numRef>
              <c:f>Heilahdusaika!$D$21:$D$26</c:f>
              <c:numCache>
                <c:formatCode>General</c:formatCode>
                <c:ptCount val="6"/>
                <c:pt idx="0">
                  <c:v>1.4185030583316443</c:v>
                </c:pt>
                <c:pt idx="1">
                  <c:v>2.0060662633603252</c:v>
                </c:pt>
                <c:pt idx="2">
                  <c:v>2.4569193677222469</c:v>
                </c:pt>
                <c:pt idx="3">
                  <c:v>3.3687581132278894</c:v>
                </c:pt>
                <c:pt idx="4">
                  <c:v>4.0817410098374411</c:v>
                </c:pt>
                <c:pt idx="5">
                  <c:v>5.3075524463680246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0-42AC-9620-C3F85345E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127552"/>
        <c:axId val="304128536"/>
      </c:scatterChart>
      <c:valAx>
        <c:axId val="30412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4128536"/>
        <c:crosses val="autoZero"/>
        <c:crossBetween val="midCat"/>
      </c:valAx>
      <c:valAx>
        <c:axId val="30412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04127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Logaritmikuvaaja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Heilahdusaika!$G$20</c:f>
              <c:strCache>
                <c:ptCount val="1"/>
                <c:pt idx="0">
                  <c:v>ln(T)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Heilahdusaika!$F$21:$F$26</c:f>
              <c:numCache>
                <c:formatCode>General</c:formatCode>
                <c:ptCount val="6"/>
                <c:pt idx="0">
                  <c:v>-0.69314718055994529</c:v>
                </c:pt>
                <c:pt idx="1">
                  <c:v>0</c:v>
                </c:pt>
                <c:pt idx="2">
                  <c:v>0.40546510810816438</c:v>
                </c:pt>
                <c:pt idx="3">
                  <c:v>1.0367368849500223</c:v>
                </c:pt>
                <c:pt idx="4">
                  <c:v>1.4206957878372228</c:v>
                </c:pt>
                <c:pt idx="5">
                  <c:v>1.9459101490553132</c:v>
                </c:pt>
              </c:numCache>
            </c:numRef>
          </c:xVal>
          <c:yVal>
            <c:numRef>
              <c:f>Heilahdusaika!$G$21:$G$26</c:f>
              <c:numCache>
                <c:formatCode>General</c:formatCode>
                <c:ptCount val="6"/>
                <c:pt idx="0">
                  <c:v>0.36464311358790924</c:v>
                </c:pt>
                <c:pt idx="1">
                  <c:v>0.68309684470644383</c:v>
                </c:pt>
                <c:pt idx="2">
                  <c:v>0.92821930273942876</c:v>
                </c:pt>
                <c:pt idx="3">
                  <c:v>1.3635373739972745</c:v>
                </c:pt>
                <c:pt idx="4">
                  <c:v>1.4274363044510658</c:v>
                </c:pt>
                <c:pt idx="5">
                  <c:v>1.6714733033535532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5F-48CB-9BCE-4B89B4F8DA8E}"/>
            </c:ext>
          </c:extLst>
        </c:ser>
        <c:ser>
          <c:idx val="1"/>
          <c:order val="1"/>
          <c:tx>
            <c:strRef>
              <c:f>Heilahdusaika!$H$20</c:f>
              <c:strCache>
                <c:ptCount val="1"/>
                <c:pt idx="0">
                  <c:v>ln(T0)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Heilahdusaika!$F$21:$F$26</c:f>
              <c:numCache>
                <c:formatCode>General</c:formatCode>
                <c:ptCount val="6"/>
                <c:pt idx="0">
                  <c:v>-0.69314718055994529</c:v>
                </c:pt>
                <c:pt idx="1">
                  <c:v>0</c:v>
                </c:pt>
                <c:pt idx="2">
                  <c:v>0.40546510810816438</c:v>
                </c:pt>
                <c:pt idx="3">
                  <c:v>1.0367368849500223</c:v>
                </c:pt>
                <c:pt idx="4">
                  <c:v>1.4206957878372228</c:v>
                </c:pt>
                <c:pt idx="5">
                  <c:v>1.9459101490553132</c:v>
                </c:pt>
              </c:numCache>
            </c:numRef>
          </c:xVal>
          <c:yVal>
            <c:numRef>
              <c:f>Heilahdusaika!$H$21:$H$26</c:f>
              <c:numCache>
                <c:formatCode>General</c:formatCode>
                <c:ptCount val="6"/>
                <c:pt idx="0">
                  <c:v>0.3496021312966226</c:v>
                </c:pt>
                <c:pt idx="1">
                  <c:v>0.69617572157659546</c:v>
                </c:pt>
                <c:pt idx="2">
                  <c:v>0.89890827563067754</c:v>
                </c:pt>
                <c:pt idx="3">
                  <c:v>1.2145441640516064</c:v>
                </c:pt>
                <c:pt idx="4">
                  <c:v>1.406523615495207</c:v>
                </c:pt>
                <c:pt idx="5">
                  <c:v>1.6691307961042521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5F-48CB-9BCE-4B89B4F8D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9033864"/>
        <c:axId val="329035504"/>
      </c:scatterChart>
      <c:valAx>
        <c:axId val="329033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9035504"/>
        <c:crosses val="autoZero"/>
        <c:crossBetween val="midCat"/>
      </c:valAx>
      <c:valAx>
        <c:axId val="32903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9033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Kertymä</a:t>
            </a:r>
            <a:r>
              <a:rPr lang="fi-FI" baseline="0"/>
              <a:t> ja tiheys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Tunnuslukuja!$G$26</c:f>
              <c:strCache>
                <c:ptCount val="1"/>
                <c:pt idx="0">
                  <c:v>kertymäfunktio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Tunnuslukuja!$F$27:$F$48</c:f>
              <c:numCache>
                <c:formatCode>General</c:formatCode>
                <c:ptCount val="2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numCache>
            </c:numRef>
          </c:xVal>
          <c:yVal>
            <c:numRef>
              <c:f>Tunnuslukuja!$G$27:$G$48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19</c:v>
                </c:pt>
                <c:pt idx="21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E2-4847-9332-B75A758EB595}"/>
            </c:ext>
          </c:extLst>
        </c:ser>
        <c:ser>
          <c:idx val="1"/>
          <c:order val="1"/>
          <c:tx>
            <c:strRef>
              <c:f>Tunnuslukuja!$H$26</c:f>
              <c:strCache>
                <c:ptCount val="1"/>
                <c:pt idx="0">
                  <c:v>tiheysfunktio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Tunnuslukuja!$F$27:$F$48</c:f>
              <c:numCache>
                <c:formatCode>General</c:formatCode>
                <c:ptCount val="22"/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</c:numCache>
            </c:numRef>
          </c:xVal>
          <c:yVal>
            <c:numRef>
              <c:f>Tunnuslukuja!$H$27:$H$48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E2-4847-9332-B75A758E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838896"/>
        <c:axId val="320838568"/>
      </c:scatterChart>
      <c:valAx>
        <c:axId val="320838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0838568"/>
        <c:crosses val="autoZero"/>
        <c:crossBetween val="midCat"/>
      </c:valAx>
      <c:valAx>
        <c:axId val="32083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20838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261343</xdr:colOff>
      <xdr:row>57</xdr:row>
      <xdr:rowOff>19048</xdr:rowOff>
    </xdr:from>
    <xdr:to>
      <xdr:col>13</xdr:col>
      <xdr:colOff>163117</xdr:colOff>
      <xdr:row>71</xdr:row>
      <xdr:rowOff>122633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486537</xdr:colOff>
      <xdr:row>6</xdr:row>
      <xdr:rowOff>20319</xdr:rowOff>
    </xdr:from>
    <xdr:ext cx="942213" cy="469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4563237" y="1430019"/>
              <a:ext cx="942213" cy="469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i-FI" sz="1500"/>
                <a:t>T</a:t>
              </a:r>
              <a:r>
                <a:rPr lang="fi-FI" sz="1500" baseline="0"/>
                <a:t> </a:t>
              </a:r>
              <a14:m>
                <m:oMath xmlns:m="http://schemas.openxmlformats.org/officeDocument/2006/math">
                  <m:r>
                    <a:rPr lang="fi-FI" sz="1500" i="1" baseline="0">
                      <a:latin typeface="Cambria Math" panose="02040503050406030204" pitchFamily="18" charset="0"/>
                    </a:rPr>
                    <m:t>=</m:t>
                  </m:r>
                  <m:r>
                    <a:rPr lang="fi-FI" sz="1500" b="0" i="1" baseline="0">
                      <a:latin typeface="Cambria Math" panose="02040503050406030204" pitchFamily="18" charset="0"/>
                    </a:rPr>
                    <m:t>2</m:t>
                  </m:r>
                  <m:r>
                    <a:rPr lang="el-GR" sz="15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𝜋</m:t>
                  </m:r>
                  <m:rad>
                    <m:radPr>
                      <m:degHide m:val="on"/>
                      <m:ctrlPr>
                        <a:rPr lang="fi-FI" sz="15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fi-FI" sz="15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fi-FI" sz="15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𝐿</m:t>
                          </m:r>
                        </m:num>
                        <m:den>
                          <m:r>
                            <a:rPr lang="fi-FI" sz="15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𝑔</m:t>
                          </m:r>
                        </m:den>
                      </m:f>
                    </m:e>
                  </m:rad>
                  <m:r>
                    <a:rPr lang="fi-FI" sz="1500" b="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fi-FI" sz="15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4563237" y="1430019"/>
              <a:ext cx="942213" cy="469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i-FI" sz="1500"/>
                <a:t>T</a:t>
              </a:r>
              <a:r>
                <a:rPr lang="fi-FI" sz="1500" baseline="0"/>
                <a:t> </a:t>
              </a:r>
              <a:r>
                <a:rPr lang="fi-FI" sz="1500" i="0" baseline="0">
                  <a:latin typeface="Cambria Math" panose="02040503050406030204" pitchFamily="18" charset="0"/>
                </a:rPr>
                <a:t>=</a:t>
              </a:r>
              <a:r>
                <a:rPr lang="fi-FI" sz="1500" b="0" i="0" baseline="0">
                  <a:latin typeface="Cambria Math" panose="02040503050406030204" pitchFamily="18" charset="0"/>
                </a:rPr>
                <a:t>2</a:t>
              </a:r>
              <a:r>
                <a:rPr lang="el-GR" sz="15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𝜋</a:t>
              </a:r>
              <a:r>
                <a:rPr lang="fi-FI" sz="150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√(</a:t>
              </a:r>
              <a:r>
                <a:rPr lang="fi-FI" sz="15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𝐿/𝑔)  </a:t>
              </a:r>
              <a:endParaRPr lang="fi-FI" sz="1500"/>
            </a:p>
          </xdr:txBody>
        </xdr:sp>
      </mc:Fallback>
    </mc:AlternateContent>
    <xdr:clientData/>
  </xdr:oneCellAnchor>
  <xdr:oneCellAnchor>
    <xdr:from>
      <xdr:col>11</xdr:col>
      <xdr:colOff>69818</xdr:colOff>
      <xdr:row>8</xdr:row>
      <xdr:rowOff>97710</xdr:rowOff>
    </xdr:from>
    <xdr:ext cx="65" cy="172227"/>
    <xdr:sp macro="" textlink="">
      <xdr:nvSpPr>
        <xdr:cNvPr id="6" name="TextBox 5"/>
        <xdr:cNvSpPr txBox="1"/>
      </xdr:nvSpPr>
      <xdr:spPr>
        <a:xfrm>
          <a:off x="5385959" y="22706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i-FI" sz="1100"/>
        </a:p>
      </xdr:txBody>
    </xdr:sp>
    <xdr:clientData/>
  </xdr:oneCellAnchor>
  <xdr:twoCellAnchor>
    <xdr:from>
      <xdr:col>1</xdr:col>
      <xdr:colOff>23812</xdr:colOff>
      <xdr:row>30</xdr:row>
      <xdr:rowOff>180975</xdr:rowOff>
    </xdr:from>
    <xdr:to>
      <xdr:col>5</xdr:col>
      <xdr:colOff>123825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233362</xdr:colOff>
      <xdr:row>31</xdr:row>
      <xdr:rowOff>0</xdr:rowOff>
    </xdr:from>
    <xdr:to>
      <xdr:col>10</xdr:col>
      <xdr:colOff>438150</xdr:colOff>
      <xdr:row>45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66070</xdr:colOff>
      <xdr:row>9</xdr:row>
      <xdr:rowOff>173037</xdr:rowOff>
    </xdr:from>
    <xdr:ext cx="1629379" cy="3910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675670" y="1773237"/>
              <a:ext cx="1629379" cy="391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i-FI" sz="1500" i="0">
                  <a:latin typeface="+mn-lt"/>
                </a:rPr>
                <a:t>L</a:t>
              </a:r>
              <a14:m>
                <m:oMath xmlns:m="http://schemas.openxmlformats.org/officeDocument/2006/math">
                  <m:r>
                    <a:rPr lang="fi-FI" sz="1500" i="1">
                      <a:latin typeface="Cambria Math" panose="02040503050406030204" pitchFamily="18" charset="0"/>
                    </a:rPr>
                    <m:t>=</m:t>
                  </m:r>
                  <m:sSup>
                    <m:sSupPr>
                      <m:ctrlPr>
                        <a:rPr lang="fi-FI" sz="15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d>
                        <m:dPr>
                          <m:ctrlPr>
                            <a:rPr lang="fi-FI" sz="15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f>
                            <m:fPr>
                              <m:ctrlPr>
                                <a:rPr lang="fi-FI" sz="15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fPr>
                            <m:num>
                              <m:r>
                                <a:rPr lang="fi-FI" sz="1500" b="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𝑇</m:t>
                              </m:r>
                            </m:num>
                            <m:den>
                              <m:r>
                                <a:rPr lang="fi-FI" sz="15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2</m:t>
                              </m:r>
                              <m:r>
                                <a:rPr lang="el-GR" sz="15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𝜋</m:t>
                              </m:r>
                            </m:den>
                          </m:f>
                          <m:r>
                            <a:rPr lang="fi-FI" sz="15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</m:e>
                    <m:sup>
                      <m:r>
                        <a:rPr lang="fi-FI" sz="15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fi-FI" sz="15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fi-FI" sz="1500"/>
                <a:t>g</a:t>
              </a: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75670" y="1773237"/>
              <a:ext cx="1629379" cy="3910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fi-FI" sz="1500" i="0">
                  <a:latin typeface="+mn-lt"/>
                </a:rPr>
                <a:t>L</a:t>
              </a:r>
              <a:r>
                <a:rPr lang="fi-FI" sz="1500" i="0">
                  <a:latin typeface="Cambria Math" panose="02040503050406030204" pitchFamily="18" charset="0"/>
                </a:rPr>
                <a:t>=</a:t>
              </a:r>
              <a:r>
                <a:rPr lang="fi-FI" sz="15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fi-FI" sz="15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</a:t>
              </a:r>
              <a:r>
                <a:rPr lang="fi-FI" sz="1500" b="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fi-FI" sz="15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l-GR" sz="15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𝜋</a:t>
              </a:r>
              <a:r>
                <a:rPr lang="fi-FI" sz="15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fi-FI" sz="15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fi-FI" sz="15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  </a:t>
              </a:r>
              <a:r>
                <a:rPr lang="fi-FI" sz="1500"/>
                <a:t>g</a:t>
              </a:r>
            </a:p>
          </xdr:txBody>
        </xdr:sp>
      </mc:Fallback>
    </mc:AlternateContent>
    <xdr:clientData/>
  </xdr:oneCellAnchor>
  <xdr:oneCellAnchor>
    <xdr:from>
      <xdr:col>8</xdr:col>
      <xdr:colOff>80645</xdr:colOff>
      <xdr:row>3</xdr:row>
      <xdr:rowOff>47625</xdr:rowOff>
    </xdr:from>
    <xdr:ext cx="2767330" cy="4615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 flipH="1">
              <a:off x="6329045" y="695325"/>
              <a:ext cx="2767330" cy="461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fi-FI" sz="1100" i="1">
                        <a:latin typeface="Cambria Math" panose="02040503050406030204" pitchFamily="18" charset="0"/>
                      </a:rPr>
                      <m:t>𝑓</m:t>
                    </m:r>
                    <m:d>
                      <m:dPr>
                        <m:ctrlPr>
                          <a:rPr lang="fi-FI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fi-FI" sz="110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d>
                    <m:r>
                      <a:rPr lang="fi-FI" sz="110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fi-FI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i-FI" sz="1100" i="1">
                            <a:latin typeface="Cambria Math" panose="02040503050406030204" pitchFamily="18" charset="0"/>
                          </a:rPr>
                          <m:t>𝑎</m:t>
                        </m:r>
                      </m:e>
                      <m:sub>
                        <m:r>
                          <a:rPr lang="fi-FI" sz="110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fi-FI" sz="1100" i="1">
                        <a:latin typeface="Cambria Math" panose="02040503050406030204" pitchFamily="18" charset="0"/>
                      </a:rPr>
                      <m:t>+</m:t>
                    </m:r>
                    <m:nary>
                      <m:naryPr>
                        <m:chr m:val="∑"/>
                        <m:ctrlPr>
                          <a:rPr lang="fi-FI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a:rPr lang="fi-FI" sz="110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fi-FI" sz="1100" i="1">
                            <a:latin typeface="Cambria Math" panose="02040503050406030204" pitchFamily="18" charset="0"/>
                          </a:rPr>
                          <m:t>=1</m:t>
                        </m:r>
                      </m:sub>
                      <m:sup>
                        <m:r>
                          <a:rPr lang="fi-FI" sz="1100" i="1">
                            <a:latin typeface="Cambria Math" panose="02040503050406030204" pitchFamily="18" charset="0"/>
                          </a:rPr>
                          <m:t>∞</m:t>
                        </m:r>
                      </m:sup>
                      <m:e/>
                    </m:nary>
                  </m:oMath>
                </m:oMathPara>
              </a14:m>
              <a:endParaRPr lang="fi-FI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 flipH="1">
              <a:off x="6329045" y="695325"/>
              <a:ext cx="2767330" cy="4615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fi-FI" sz="1100" i="0">
                  <a:latin typeface="Cambria Math" panose="02040503050406030204" pitchFamily="18" charset="0"/>
                </a:rPr>
                <a:t>𝑓(𝑥)=𝑎_0+∑24_(𝑛=1)^∞</a:t>
              </a:r>
              <a:endParaRPr lang="fi-FI" sz="1100"/>
            </a:p>
          </xdr:txBody>
        </xdr:sp>
      </mc:Fallback>
    </mc:AlternateContent>
    <xdr:clientData/>
  </xdr:oneCellAnchor>
  <xdr:oneCellAnchor>
    <xdr:from>
      <xdr:col>4</xdr:col>
      <xdr:colOff>36481</xdr:colOff>
      <xdr:row>10</xdr:row>
      <xdr:rowOff>84613</xdr:rowOff>
    </xdr:from>
    <xdr:ext cx="3314369" cy="23480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2998756" y="2065813"/>
              <a:ext cx="3314369" cy="234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i-FI" sz="1500"/>
                <a:t>ln(T)</a:t>
              </a:r>
              <a14:m>
                <m:oMath xmlns:m="http://schemas.openxmlformats.org/officeDocument/2006/math">
                  <m:r>
                    <a:rPr lang="fi-FI" sz="1500" i="1">
                      <a:latin typeface="Cambria Math" panose="02040503050406030204" pitchFamily="18" charset="0"/>
                    </a:rPr>
                    <m:t>=</m:t>
                  </m:r>
                  <m:func>
                    <m:funcPr>
                      <m:ctrlPr>
                        <a:rPr lang="fi-FI" sz="15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fi-FI" sz="1500" b="0" i="0">
                          <a:latin typeface="Cambria Math" panose="02040503050406030204" pitchFamily="18" charset="0"/>
                        </a:rPr>
                        <m:t>ln</m:t>
                      </m:r>
                    </m:fName>
                    <m:e>
                      <m:r>
                        <a:rPr lang="fi-FI" sz="1500" b="0" i="1">
                          <a:latin typeface="Cambria Math" panose="02040503050406030204" pitchFamily="18" charset="0"/>
                        </a:rPr>
                        <m:t>(</m:t>
                      </m:r>
                    </m:e>
                  </m:func>
                  <m:r>
                    <a:rPr lang="fi-FI" sz="1500" b="0" i="1">
                      <a:latin typeface="Cambria Math" panose="02040503050406030204" pitchFamily="18" charset="0"/>
                    </a:rPr>
                    <m:t>2</m:t>
                  </m:r>
                  <m:r>
                    <a:rPr lang="el-GR" sz="1500" i="1">
                      <a:latin typeface="Cambria Math" panose="02040503050406030204" pitchFamily="18" charset="0"/>
                    </a:rPr>
                    <m:t>𝜋</m:t>
                  </m:r>
                  <m:r>
                    <a:rPr lang="fi-FI" sz="1500" b="0" i="1">
                      <a:latin typeface="Cambria Math" panose="02040503050406030204" pitchFamily="18" charset="0"/>
                    </a:rPr>
                    <m:t>)</m:t>
                  </m:r>
                  <m:r>
                    <a:rPr lang="fi-FI" sz="1500" b="0" i="0">
                      <a:latin typeface="Cambria Math" panose="02040503050406030204" pitchFamily="18" charset="0"/>
                    </a:rPr>
                    <m:t>+0,5∗</m:t>
                  </m:r>
                  <m:func>
                    <m:funcPr>
                      <m:ctrlPr>
                        <a:rPr lang="fi-FI" sz="1500" b="0" i="1">
                          <a:latin typeface="Cambria Math" panose="02040503050406030204" pitchFamily="18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fi-FI" sz="1500" b="0" i="0">
                          <a:latin typeface="Cambria Math" panose="02040503050406030204" pitchFamily="18" charset="0"/>
                        </a:rPr>
                        <m:t>ln</m:t>
                      </m:r>
                    </m:fName>
                    <m:e>
                      <m:d>
                        <m:dPr>
                          <m:ctrlPr>
                            <a:rPr lang="fi-FI" sz="1500" b="0" i="1">
                              <a:latin typeface="Cambria Math" panose="02040503050406030204" pitchFamily="18" charset="0"/>
                            </a:rPr>
                          </m:ctrlPr>
                        </m:dPr>
                        <m:e>
                          <m:r>
                            <a:rPr lang="fi-FI" sz="1500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</m:d>
                    </m:e>
                  </m:func>
                  <m:r>
                    <a:rPr lang="fi-FI" sz="1500" b="0" i="1">
                      <a:latin typeface="Cambria Math" panose="02040503050406030204" pitchFamily="18" charset="0"/>
                    </a:rPr>
                    <m:t>−0,5∗</m:t>
                  </m:r>
                  <m:r>
                    <m:rPr>
                      <m:sty m:val="p"/>
                    </m:rPr>
                    <a:rPr lang="fi-FI" sz="1500" b="0" i="0">
                      <a:latin typeface="Cambria Math" panose="02040503050406030204" pitchFamily="18" charset="0"/>
                    </a:rPr>
                    <m:t>ln</m:t>
                  </m:r>
                  <m:r>
                    <a:rPr lang="fi-FI" sz="1500" b="0" i="1">
                      <a:latin typeface="Cambria Math" panose="02040503050406030204" pitchFamily="18" charset="0"/>
                    </a:rPr>
                    <m:t>⁡(</m:t>
                  </m:r>
                  <m:r>
                    <a:rPr lang="fi-FI" sz="1500" b="0" i="1">
                      <a:latin typeface="Cambria Math" panose="02040503050406030204" pitchFamily="18" charset="0"/>
                    </a:rPr>
                    <m:t>𝑔</m:t>
                  </m:r>
                  <m:r>
                    <a:rPr lang="fi-FI" sz="15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endParaRPr lang="fi-FI" sz="15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2998756" y="2065813"/>
              <a:ext cx="3314369" cy="2348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i-FI" sz="1500"/>
                <a:t>ln(T)</a:t>
              </a:r>
              <a:r>
                <a:rPr lang="fi-FI" sz="1500" i="0">
                  <a:latin typeface="Cambria Math" panose="02040503050406030204" pitchFamily="18" charset="0"/>
                </a:rPr>
                <a:t>=</a:t>
              </a:r>
              <a:r>
                <a:rPr lang="fi-FI" sz="1500" b="0" i="0">
                  <a:latin typeface="Cambria Math" panose="02040503050406030204" pitchFamily="18" charset="0"/>
                </a:rPr>
                <a:t>ln⁡( 2</a:t>
              </a:r>
              <a:r>
                <a:rPr lang="el-GR" sz="1500" i="0">
                  <a:latin typeface="Cambria Math" panose="02040503050406030204" pitchFamily="18" charset="0"/>
                </a:rPr>
                <a:t>𝜋</a:t>
              </a:r>
              <a:r>
                <a:rPr lang="fi-FI" sz="1500" b="0" i="0">
                  <a:latin typeface="Cambria Math" panose="02040503050406030204" pitchFamily="18" charset="0"/>
                </a:rPr>
                <a:t>)+0,5∗ln⁡(𝐿)−0,5∗ln⁡(𝑔)</a:t>
              </a:r>
              <a:endParaRPr lang="fi-FI" sz="15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452437</xdr:colOff>
      <xdr:row>25</xdr:row>
      <xdr:rowOff>152400</xdr:rowOff>
    </xdr:from>
    <xdr:to>
      <xdr:col>17</xdr:col>
      <xdr:colOff>147637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.wikipedia.org/wiki/Hajontaluku" TargetMode="External"/><Relationship Id="rId1" Type="http://schemas.openxmlformats.org/officeDocument/2006/relationships/hyperlink" Target="https://www.youtube.com/watch?v=aBXJnvQ6KF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ormula/count-cells-less-th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topLeftCell="A13" zoomScale="115" zoomScaleNormal="115" workbookViewId="0">
      <selection activeCell="B3" sqref="B3"/>
    </sheetView>
  </sheetViews>
  <sheetFormatPr defaultRowHeight="15" x14ac:dyDescent="0.25"/>
  <cols>
    <col min="1" max="1" width="17.140625" customWidth="1"/>
    <col min="2" max="2" width="11.28515625" customWidth="1"/>
    <col min="3" max="3" width="5.140625" customWidth="1"/>
    <col min="5" max="5" width="6.85546875" customWidth="1"/>
    <col min="6" max="6" width="6.42578125" customWidth="1"/>
  </cols>
  <sheetData>
    <row r="2" spans="1:10" ht="21" x14ac:dyDescent="0.35">
      <c r="B2" s="1" t="s">
        <v>114</v>
      </c>
      <c r="C2" s="1"/>
      <c r="G2" s="2" t="s">
        <v>19</v>
      </c>
    </row>
    <row r="3" spans="1:10" x14ac:dyDescent="0.25">
      <c r="E3" t="s">
        <v>29</v>
      </c>
      <c r="G3" t="s">
        <v>20</v>
      </c>
    </row>
    <row r="4" spans="1:10" x14ac:dyDescent="0.25">
      <c r="A4" t="s">
        <v>26</v>
      </c>
      <c r="B4" t="s">
        <v>1</v>
      </c>
      <c r="C4" t="s">
        <v>9</v>
      </c>
      <c r="D4" t="s">
        <v>3</v>
      </c>
      <c r="E4" t="s">
        <v>17</v>
      </c>
      <c r="F4" t="s">
        <v>18</v>
      </c>
      <c r="G4" t="s">
        <v>21</v>
      </c>
    </row>
    <row r="5" spans="1:10" x14ac:dyDescent="0.25">
      <c r="A5">
        <v>5</v>
      </c>
      <c r="B5">
        <v>1</v>
      </c>
      <c r="C5">
        <v>1</v>
      </c>
      <c r="D5">
        <v>20.84</v>
      </c>
      <c r="E5">
        <f>D5-D$15*C5</f>
        <v>9.0000000000003411E-3</v>
      </c>
      <c r="F5">
        <f>ABS(E5)</f>
        <v>9.0000000000003411E-3</v>
      </c>
      <c r="G5">
        <f>E5^2</f>
        <v>8.1000000000006143E-5</v>
      </c>
    </row>
    <row r="6" spans="1:10" x14ac:dyDescent="0.25">
      <c r="B6">
        <v>2</v>
      </c>
      <c r="C6">
        <v>1</v>
      </c>
      <c r="D6">
        <v>20.83</v>
      </c>
      <c r="E6">
        <f t="shared" ref="E6:E14" si="0">D6-D$15*C6</f>
        <v>-1.0000000000012221E-3</v>
      </c>
      <c r="F6">
        <f t="shared" ref="F6:F14" si="1">ABS(E6)</f>
        <v>1.0000000000012221E-3</v>
      </c>
      <c r="G6">
        <f t="shared" ref="G6:G14" si="2">E6^2</f>
        <v>1.0000000000024443E-6</v>
      </c>
    </row>
    <row r="7" spans="1:10" x14ac:dyDescent="0.25">
      <c r="B7">
        <v>3</v>
      </c>
      <c r="C7">
        <v>1</v>
      </c>
      <c r="D7">
        <v>20.83</v>
      </c>
      <c r="E7">
        <f t="shared" si="0"/>
        <v>-1.0000000000012221E-3</v>
      </c>
      <c r="F7">
        <f t="shared" si="1"/>
        <v>1.0000000000012221E-3</v>
      </c>
      <c r="G7">
        <f t="shared" si="2"/>
        <v>1.0000000000024443E-6</v>
      </c>
    </row>
    <row r="8" spans="1:10" x14ac:dyDescent="0.25">
      <c r="B8">
        <v>4</v>
      </c>
      <c r="C8">
        <v>1</v>
      </c>
      <c r="D8">
        <v>20.85</v>
      </c>
      <c r="E8">
        <f t="shared" si="0"/>
        <v>1.9000000000001904E-2</v>
      </c>
      <c r="F8">
        <f t="shared" si="1"/>
        <v>1.9000000000001904E-2</v>
      </c>
      <c r="G8">
        <f t="shared" si="2"/>
        <v>3.6100000000007236E-4</v>
      </c>
    </row>
    <row r="9" spans="1:10" x14ac:dyDescent="0.25">
      <c r="B9">
        <v>5</v>
      </c>
      <c r="C9">
        <v>1</v>
      </c>
      <c r="D9">
        <v>20.81</v>
      </c>
      <c r="E9">
        <f t="shared" si="0"/>
        <v>-2.1000000000000796E-2</v>
      </c>
      <c r="F9">
        <f t="shared" si="1"/>
        <v>2.1000000000000796E-2</v>
      </c>
      <c r="G9">
        <f t="shared" si="2"/>
        <v>4.4100000000003343E-4</v>
      </c>
    </row>
    <row r="10" spans="1:10" x14ac:dyDescent="0.25">
      <c r="B10">
        <v>6</v>
      </c>
      <c r="C10">
        <v>1</v>
      </c>
      <c r="D10">
        <v>20.87</v>
      </c>
      <c r="E10">
        <f t="shared" si="0"/>
        <v>3.9000000000001478E-2</v>
      </c>
      <c r="F10">
        <f t="shared" si="1"/>
        <v>3.9000000000001478E-2</v>
      </c>
      <c r="G10">
        <f t="shared" si="2"/>
        <v>1.5210000000001154E-3</v>
      </c>
      <c r="I10" t="s">
        <v>35</v>
      </c>
    </row>
    <row r="11" spans="1:10" x14ac:dyDescent="0.25">
      <c r="B11">
        <v>7</v>
      </c>
      <c r="C11">
        <v>1</v>
      </c>
      <c r="D11">
        <v>20.9</v>
      </c>
      <c r="E11">
        <f t="shared" si="0"/>
        <v>6.8999999999999062E-2</v>
      </c>
      <c r="F11">
        <f t="shared" si="1"/>
        <v>6.8999999999999062E-2</v>
      </c>
      <c r="G11">
        <f t="shared" si="2"/>
        <v>4.7609999999998704E-3</v>
      </c>
    </row>
    <row r="12" spans="1:10" x14ac:dyDescent="0.25">
      <c r="B12">
        <v>8</v>
      </c>
      <c r="C12">
        <v>1</v>
      </c>
      <c r="D12">
        <v>20.83</v>
      </c>
      <c r="E12">
        <f t="shared" si="0"/>
        <v>-1.0000000000012221E-3</v>
      </c>
      <c r="F12">
        <f t="shared" si="1"/>
        <v>1.0000000000012221E-3</v>
      </c>
      <c r="G12">
        <f t="shared" si="2"/>
        <v>1.0000000000024443E-6</v>
      </c>
      <c r="I12" t="s">
        <v>28</v>
      </c>
      <c r="J12" t="s">
        <v>113</v>
      </c>
    </row>
    <row r="13" spans="1:10" x14ac:dyDescent="0.25">
      <c r="B13">
        <v>9</v>
      </c>
      <c r="C13">
        <v>1</v>
      </c>
      <c r="D13">
        <v>20.77</v>
      </c>
      <c r="E13">
        <f t="shared" si="0"/>
        <v>-6.0999999999999943E-2</v>
      </c>
      <c r="F13">
        <f t="shared" si="1"/>
        <v>6.0999999999999943E-2</v>
      </c>
      <c r="G13">
        <f t="shared" si="2"/>
        <v>3.720999999999993E-3</v>
      </c>
      <c r="I13">
        <f>_xlfn.STDEV.S(D5:D14)</f>
        <v>3.8715486421958864E-2</v>
      </c>
    </row>
    <row r="14" spans="1:10" x14ac:dyDescent="0.25">
      <c r="B14">
        <v>10</v>
      </c>
      <c r="C14">
        <v>1</v>
      </c>
      <c r="D14">
        <v>20.78</v>
      </c>
      <c r="E14">
        <f t="shared" si="0"/>
        <v>-5.099999999999838E-2</v>
      </c>
      <c r="F14">
        <f t="shared" si="1"/>
        <v>5.099999999999838E-2</v>
      </c>
      <c r="G14">
        <f t="shared" si="2"/>
        <v>2.6009999999998348E-3</v>
      </c>
    </row>
    <row r="15" spans="1:10" x14ac:dyDescent="0.25">
      <c r="B15" t="s">
        <v>27</v>
      </c>
      <c r="C15">
        <f>SUM(C5:C14)</f>
        <v>10</v>
      </c>
      <c r="D15">
        <f>SUM(D5:D14)/C15</f>
        <v>20.831</v>
      </c>
      <c r="F15">
        <f>SUM(F5:F14)/C15</f>
        <v>2.7200000000000557E-2</v>
      </c>
      <c r="G15">
        <f>SUM(G5:G14)</f>
        <v>1.3489999999999933E-2</v>
      </c>
    </row>
    <row r="16" spans="1:10" x14ac:dyDescent="0.25">
      <c r="B16" t="s">
        <v>4</v>
      </c>
      <c r="D16">
        <f>D15/A5</f>
        <v>4.1661999999999999</v>
      </c>
      <c r="F16">
        <f>F15/A5</f>
        <v>5.4400000000001114E-3</v>
      </c>
    </row>
    <row r="17" spans="1:12" x14ac:dyDescent="0.25">
      <c r="B17" t="s">
        <v>34</v>
      </c>
      <c r="C17">
        <f>C15-1</f>
        <v>9</v>
      </c>
    </row>
    <row r="18" spans="1:12" x14ac:dyDescent="0.25">
      <c r="A18" t="s">
        <v>32</v>
      </c>
      <c r="G18">
        <f>G15/C17</f>
        <v>1.4988888888888814E-3</v>
      </c>
      <c r="I18" t="s">
        <v>33</v>
      </c>
    </row>
    <row r="19" spans="1:12" x14ac:dyDescent="0.25">
      <c r="A19" t="s">
        <v>30</v>
      </c>
      <c r="B19" t="s">
        <v>23</v>
      </c>
      <c r="G19">
        <f>SQRT(G18)</f>
        <v>3.8715486421958864E-2</v>
      </c>
      <c r="I19" t="s">
        <v>22</v>
      </c>
      <c r="L19" s="2" t="s">
        <v>31</v>
      </c>
    </row>
    <row r="20" spans="1:12" x14ac:dyDescent="0.25">
      <c r="B20" t="s">
        <v>24</v>
      </c>
      <c r="G20">
        <f>G19/SQRT(C15)</f>
        <v>1.2242911781471274E-2</v>
      </c>
      <c r="I20" t="s">
        <v>25</v>
      </c>
    </row>
    <row r="24" spans="1:12" x14ac:dyDescent="0.25">
      <c r="A24" t="s">
        <v>5</v>
      </c>
      <c r="D24">
        <f>D15</f>
        <v>20.831</v>
      </c>
      <c r="E24" t="s">
        <v>6</v>
      </c>
      <c r="F24">
        <f>F15</f>
        <v>2.7200000000000557E-2</v>
      </c>
      <c r="G24" t="s">
        <v>2</v>
      </c>
    </row>
    <row r="25" spans="1:12" x14ac:dyDescent="0.25">
      <c r="A25" t="s">
        <v>7</v>
      </c>
      <c r="D25">
        <f>ROUND(D24,2)</f>
        <v>20.83</v>
      </c>
      <c r="E25" t="s">
        <v>6</v>
      </c>
      <c r="F25">
        <f>CEILING(F24,0.01)</f>
        <v>0.03</v>
      </c>
      <c r="G25" t="s">
        <v>2</v>
      </c>
    </row>
    <row r="26" spans="1:12" x14ac:dyDescent="0.25">
      <c r="D26">
        <f>D25/A5</f>
        <v>4.1659999999999995</v>
      </c>
      <c r="F26">
        <f>F25/A5</f>
        <v>6.0000000000000001E-3</v>
      </c>
    </row>
  </sheetData>
  <hyperlinks>
    <hyperlink ref="G2" r:id="rId1"/>
    <hyperlink ref="L19" r:id="rId2" location="Otoshajonta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5"/>
  <sheetViews>
    <sheetView zoomScaleNormal="100" workbookViewId="0">
      <selection activeCell="D2" sqref="D2"/>
    </sheetView>
  </sheetViews>
  <sheetFormatPr defaultRowHeight="15" x14ac:dyDescent="0.25"/>
  <cols>
    <col min="2" max="2" width="11.7109375" customWidth="1"/>
    <col min="3" max="3" width="11.42578125" customWidth="1"/>
    <col min="4" max="4" width="12.140625" customWidth="1"/>
    <col min="5" max="5" width="16.7109375" customWidth="1"/>
    <col min="6" max="6" width="14.28515625" customWidth="1"/>
  </cols>
  <sheetData>
    <row r="2" spans="1:13" ht="26.25" x14ac:dyDescent="0.4">
      <c r="B2" s="15" t="s">
        <v>0</v>
      </c>
      <c r="C2" s="1"/>
    </row>
    <row r="3" spans="1:13" x14ac:dyDescent="0.25">
      <c r="B3" t="s">
        <v>78</v>
      </c>
    </row>
    <row r="4" spans="1:13" x14ac:dyDescent="0.25">
      <c r="A4" t="s">
        <v>76</v>
      </c>
      <c r="B4" t="s">
        <v>75</v>
      </c>
    </row>
    <row r="5" spans="1:13" x14ac:dyDescent="0.25">
      <c r="B5" t="s">
        <v>77</v>
      </c>
    </row>
    <row r="6" spans="1:13" x14ac:dyDescent="0.25">
      <c r="B6" t="s">
        <v>79</v>
      </c>
    </row>
    <row r="7" spans="1:13" x14ac:dyDescent="0.25">
      <c r="H7" t="s">
        <v>81</v>
      </c>
      <c r="I7" t="s">
        <v>82</v>
      </c>
    </row>
    <row r="8" spans="1:13" x14ac:dyDescent="0.25">
      <c r="B8" t="s">
        <v>80</v>
      </c>
      <c r="I8" s="11" t="s">
        <v>83</v>
      </c>
    </row>
    <row r="9" spans="1:13" x14ac:dyDescent="0.25">
      <c r="B9" t="s">
        <v>94</v>
      </c>
      <c r="I9" t="s">
        <v>84</v>
      </c>
    </row>
    <row r="10" spans="1:13" x14ac:dyDescent="0.25">
      <c r="G10" t="s">
        <v>95</v>
      </c>
      <c r="I10" t="s">
        <v>86</v>
      </c>
      <c r="L10">
        <v>9.81</v>
      </c>
      <c r="M10" t="s">
        <v>85</v>
      </c>
    </row>
    <row r="11" spans="1:13" x14ac:dyDescent="0.25">
      <c r="D11" t="s">
        <v>96</v>
      </c>
    </row>
    <row r="14" spans="1:13" x14ac:dyDescent="0.25">
      <c r="B14" s="14" t="s">
        <v>71</v>
      </c>
      <c r="E14" t="s">
        <v>99</v>
      </c>
    </row>
    <row r="16" spans="1:13" x14ac:dyDescent="0.25">
      <c r="B16" s="12" t="s">
        <v>93</v>
      </c>
    </row>
    <row r="17" spans="2:8" x14ac:dyDescent="0.25">
      <c r="B17" t="s">
        <v>88</v>
      </c>
    </row>
    <row r="19" spans="2:8" x14ac:dyDescent="0.25">
      <c r="B19" s="6" t="s">
        <v>10</v>
      </c>
      <c r="C19" s="6" t="s">
        <v>11</v>
      </c>
      <c r="D19" s="6" t="s">
        <v>87</v>
      </c>
    </row>
    <row r="20" spans="2:8" x14ac:dyDescent="0.25">
      <c r="B20" s="6"/>
      <c r="C20" s="6" t="s">
        <v>89</v>
      </c>
      <c r="D20" s="6" t="s">
        <v>90</v>
      </c>
      <c r="F20" s="7" t="s">
        <v>14</v>
      </c>
      <c r="G20" s="7" t="s">
        <v>15</v>
      </c>
      <c r="H20" s="7" t="s">
        <v>16</v>
      </c>
    </row>
    <row r="21" spans="2:8" x14ac:dyDescent="0.25">
      <c r="B21" s="6">
        <v>0.5</v>
      </c>
      <c r="C21" s="6">
        <v>1.44</v>
      </c>
      <c r="D21" s="6">
        <f t="shared" ref="D21:D26" si="0">2*3.141592*SQRT(B21/$L$10)</f>
        <v>1.4185030583316443</v>
      </c>
      <c r="F21" s="7">
        <f>LN(B21)</f>
        <v>-0.69314718055994529</v>
      </c>
      <c r="G21" s="7">
        <f>LN(C21)</f>
        <v>0.36464311358790924</v>
      </c>
      <c r="H21" s="7">
        <f>LN(D21)</f>
        <v>0.3496021312966226</v>
      </c>
    </row>
    <row r="22" spans="2:8" x14ac:dyDescent="0.25">
      <c r="B22" s="6">
        <v>1</v>
      </c>
      <c r="C22" s="6">
        <v>1.98</v>
      </c>
      <c r="D22" s="6">
        <f t="shared" si="0"/>
        <v>2.0060662633603252</v>
      </c>
      <c r="F22" s="7">
        <f t="shared" ref="F22:F26" si="1">LN(B22)</f>
        <v>0</v>
      </c>
      <c r="G22" s="7">
        <f t="shared" ref="G22:G26" si="2">LN(C22)</f>
        <v>0.68309684470644383</v>
      </c>
      <c r="H22" s="7">
        <f t="shared" ref="H22:H26" si="3">LN(D22)</f>
        <v>0.69617572157659546</v>
      </c>
    </row>
    <row r="23" spans="2:8" x14ac:dyDescent="0.25">
      <c r="B23" s="6">
        <v>1.5</v>
      </c>
      <c r="C23" s="6">
        <v>2.5299999999999998</v>
      </c>
      <c r="D23" s="6">
        <f t="shared" si="0"/>
        <v>2.4569193677222469</v>
      </c>
      <c r="F23" s="7">
        <f t="shared" si="1"/>
        <v>0.40546510810816438</v>
      </c>
      <c r="G23" s="7">
        <f t="shared" si="2"/>
        <v>0.92821930273942876</v>
      </c>
      <c r="H23" s="7">
        <f t="shared" si="3"/>
        <v>0.89890827563067754</v>
      </c>
    </row>
    <row r="24" spans="2:8" x14ac:dyDescent="0.25">
      <c r="B24" s="6">
        <v>2.82</v>
      </c>
      <c r="C24" s="6">
        <v>3.91</v>
      </c>
      <c r="D24" s="6">
        <f t="shared" si="0"/>
        <v>3.3687581132278894</v>
      </c>
      <c r="E24" t="s">
        <v>8</v>
      </c>
      <c r="F24" s="7">
        <f t="shared" si="1"/>
        <v>1.0367368849500223</v>
      </c>
      <c r="G24" s="7">
        <f t="shared" si="2"/>
        <v>1.3635373739972745</v>
      </c>
      <c r="H24" s="7">
        <f t="shared" si="3"/>
        <v>1.2145441640516064</v>
      </c>
    </row>
    <row r="25" spans="2:8" x14ac:dyDescent="0.25">
      <c r="B25" s="6">
        <v>4.1399999999999997</v>
      </c>
      <c r="C25" s="6">
        <v>4.1680000000000001</v>
      </c>
      <c r="D25" s="6">
        <f t="shared" si="0"/>
        <v>4.0817410098374411</v>
      </c>
      <c r="F25" s="7">
        <f t="shared" si="1"/>
        <v>1.4206957878372228</v>
      </c>
      <c r="G25" s="7">
        <f t="shared" si="2"/>
        <v>1.4274363044510658</v>
      </c>
      <c r="H25" s="7">
        <f t="shared" si="3"/>
        <v>1.406523615495207</v>
      </c>
    </row>
    <row r="26" spans="2:8" x14ac:dyDescent="0.25">
      <c r="B26" s="6">
        <v>7</v>
      </c>
      <c r="C26" s="6">
        <v>5.32</v>
      </c>
      <c r="D26" s="6">
        <f t="shared" si="0"/>
        <v>5.3075524463680246</v>
      </c>
      <c r="F26" s="7">
        <f t="shared" si="1"/>
        <v>1.9459101490553132</v>
      </c>
      <c r="G26" s="7">
        <f t="shared" si="2"/>
        <v>1.6714733033535532</v>
      </c>
      <c r="H26" s="7">
        <f t="shared" si="3"/>
        <v>1.6691307961042521</v>
      </c>
    </row>
    <row r="28" spans="2:8" x14ac:dyDescent="0.25">
      <c r="B28" t="s">
        <v>91</v>
      </c>
    </row>
    <row r="29" spans="2:8" x14ac:dyDescent="0.25">
      <c r="B29" t="s">
        <v>92</v>
      </c>
    </row>
    <row r="47" spans="2:9" x14ac:dyDescent="0.25">
      <c r="B47" t="s">
        <v>104</v>
      </c>
      <c r="I47" t="s">
        <v>105</v>
      </c>
    </row>
    <row r="48" spans="2:9" x14ac:dyDescent="0.25">
      <c r="B48" t="s">
        <v>106</v>
      </c>
      <c r="D48" s="10"/>
      <c r="E48" t="s">
        <v>107</v>
      </c>
      <c r="G48" t="s">
        <v>110</v>
      </c>
    </row>
    <row r="49" spans="1:7" x14ac:dyDescent="0.25">
      <c r="D49" s="10"/>
      <c r="E49" t="s">
        <v>109</v>
      </c>
    </row>
    <row r="50" spans="1:7" x14ac:dyDescent="0.25">
      <c r="D50" s="10"/>
      <c r="E50" t="s">
        <v>108</v>
      </c>
    </row>
    <row r="51" spans="1:7" x14ac:dyDescent="0.25">
      <c r="D51" s="10"/>
    </row>
    <row r="52" spans="1:7" x14ac:dyDescent="0.25">
      <c r="B52" t="s">
        <v>111</v>
      </c>
      <c r="D52">
        <f>CORREL(F21:F26,G21:G26)</f>
        <v>0.99336056361357117</v>
      </c>
      <c r="F52" s="10" t="s">
        <v>112</v>
      </c>
    </row>
    <row r="54" spans="1:7" x14ac:dyDescent="0.25">
      <c r="B54" s="10" t="s">
        <v>100</v>
      </c>
      <c r="F54" s="10"/>
    </row>
    <row r="55" spans="1:7" x14ac:dyDescent="0.25">
      <c r="B55" t="s">
        <v>70</v>
      </c>
      <c r="D55" s="14" t="s">
        <v>101</v>
      </c>
      <c r="G55" s="13" t="s">
        <v>102</v>
      </c>
    </row>
    <row r="56" spans="1:7" x14ac:dyDescent="0.25">
      <c r="F56" t="s">
        <v>97</v>
      </c>
    </row>
    <row r="57" spans="1:7" x14ac:dyDescent="0.25">
      <c r="A57" t="s">
        <v>103</v>
      </c>
    </row>
    <row r="58" spans="1:7" x14ac:dyDescent="0.25">
      <c r="A58" t="s">
        <v>12</v>
      </c>
      <c r="B58" t="s">
        <v>13</v>
      </c>
      <c r="C58" t="s">
        <v>72</v>
      </c>
      <c r="D58" t="s">
        <v>73</v>
      </c>
      <c r="E58" t="s">
        <v>12</v>
      </c>
      <c r="F58" t="s">
        <v>74</v>
      </c>
    </row>
    <row r="59" spans="1:7" x14ac:dyDescent="0.25">
      <c r="A59">
        <v>0.5</v>
      </c>
      <c r="B59">
        <v>1.44</v>
      </c>
      <c r="C59">
        <f>B59/(2*3.14159263)</f>
        <v>0.22918311977323425</v>
      </c>
      <c r="D59">
        <f t="shared" ref="D59:D64" si="4">C59^2</f>
        <v>5.2524902388992635E-2</v>
      </c>
      <c r="E59">
        <v>0.5</v>
      </c>
      <c r="F59">
        <f t="shared" ref="F59:F64" si="5">A59/D59</f>
        <v>9.5192942253764627</v>
      </c>
      <c r="G59">
        <f>F59</f>
        <v>9.5192942253764627</v>
      </c>
    </row>
    <row r="60" spans="1:7" x14ac:dyDescent="0.25">
      <c r="A60">
        <v>1</v>
      </c>
      <c r="B60">
        <v>1.98</v>
      </c>
      <c r="C60">
        <f t="shared" ref="C60:C64" si="6">B60/(2*3.14159263)</f>
        <v>0.31512678968819713</v>
      </c>
      <c r="D60">
        <f t="shared" si="4"/>
        <v>9.930489357918923E-2</v>
      </c>
      <c r="E60">
        <v>1</v>
      </c>
      <c r="F60">
        <f t="shared" si="5"/>
        <v>10.069997197092455</v>
      </c>
      <c r="G60">
        <f t="shared" ref="G60:G64" si="7">F60</f>
        <v>10.069997197092455</v>
      </c>
    </row>
    <row r="61" spans="1:7" x14ac:dyDescent="0.25">
      <c r="A61">
        <v>1.5</v>
      </c>
      <c r="B61">
        <v>2.5299999999999998</v>
      </c>
      <c r="C61">
        <f t="shared" si="6"/>
        <v>0.40266200904602961</v>
      </c>
      <c r="D61">
        <f t="shared" si="4"/>
        <v>0.16213669352898483</v>
      </c>
      <c r="E61">
        <v>1.5</v>
      </c>
      <c r="F61">
        <f t="shared" si="5"/>
        <v>9.2514530014875884</v>
      </c>
      <c r="G61">
        <f t="shared" si="7"/>
        <v>9.2514530014875884</v>
      </c>
    </row>
    <row r="62" spans="1:7" x14ac:dyDescent="0.25">
      <c r="A62">
        <v>2.82</v>
      </c>
      <c r="B62">
        <v>3.91</v>
      </c>
      <c r="C62">
        <f t="shared" si="6"/>
        <v>0.62229583216204587</v>
      </c>
      <c r="D62">
        <f t="shared" si="4"/>
        <v>0.38725210272625316</v>
      </c>
      <c r="E62">
        <v>2.82</v>
      </c>
      <c r="F62">
        <f t="shared" si="5"/>
        <v>7.2820779542505045</v>
      </c>
      <c r="G62" s="13" t="s">
        <v>98</v>
      </c>
    </row>
    <row r="63" spans="1:7" x14ac:dyDescent="0.25">
      <c r="A63">
        <v>4.1399999999999997</v>
      </c>
      <c r="B63">
        <v>4.1680000000000001</v>
      </c>
      <c r="C63">
        <f t="shared" si="6"/>
        <v>0.66335780778808362</v>
      </c>
      <c r="D63">
        <f t="shared" si="4"/>
        <v>0.44004358115341208</v>
      </c>
      <c r="E63">
        <v>4.1399999999999997</v>
      </c>
      <c r="F63">
        <f t="shared" si="5"/>
        <v>9.4081590490389964</v>
      </c>
      <c r="G63">
        <f t="shared" si="7"/>
        <v>9.4081590490389964</v>
      </c>
    </row>
    <row r="64" spans="1:7" x14ac:dyDescent="0.25">
      <c r="A64">
        <v>7</v>
      </c>
      <c r="B64">
        <v>5.32</v>
      </c>
      <c r="C64">
        <f t="shared" si="6"/>
        <v>0.84670430360667104</v>
      </c>
      <c r="D64">
        <f t="shared" si="4"/>
        <v>0.71690817774605775</v>
      </c>
      <c r="E64">
        <v>7</v>
      </c>
      <c r="F64">
        <f t="shared" si="5"/>
        <v>9.7641514175606616</v>
      </c>
      <c r="G64">
        <f t="shared" si="7"/>
        <v>9.7641514175606616</v>
      </c>
    </row>
    <row r="65" spans="5:7" x14ac:dyDescent="0.25">
      <c r="E65" t="s">
        <v>45</v>
      </c>
      <c r="F65">
        <f>AVERAGE(F59:F64)</f>
        <v>9.2158554741344449</v>
      </c>
      <c r="G65">
        <f>AVERAGE(G59:G64)</f>
        <v>9.6026109781112332</v>
      </c>
    </row>
  </sheetData>
  <sortState ref="B18:D23">
    <sortCondition ref="B12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F8" sqref="F8"/>
    </sheetView>
  </sheetViews>
  <sheetFormatPr defaultRowHeight="15" x14ac:dyDescent="0.25"/>
  <cols>
    <col min="1" max="1" width="9" customWidth="1"/>
    <col min="5" max="5" width="29.42578125" customWidth="1"/>
  </cols>
  <sheetData>
    <row r="1" spans="1:8" x14ac:dyDescent="0.25">
      <c r="A1" t="s">
        <v>36</v>
      </c>
      <c r="B1" t="s">
        <v>37</v>
      </c>
    </row>
    <row r="2" spans="1:8" x14ac:dyDescent="0.25">
      <c r="A2">
        <v>1001</v>
      </c>
      <c r="B2">
        <v>93</v>
      </c>
      <c r="E2" t="s">
        <v>47</v>
      </c>
    </row>
    <row r="3" spans="1:8" x14ac:dyDescent="0.25">
      <c r="A3">
        <v>1002</v>
      </c>
      <c r="B3">
        <v>83</v>
      </c>
    </row>
    <row r="4" spans="1:8" x14ac:dyDescent="0.25">
      <c r="A4">
        <v>1003</v>
      </c>
      <c r="B4">
        <v>86</v>
      </c>
      <c r="E4" s="5" t="s">
        <v>30</v>
      </c>
      <c r="F4">
        <f>_xlfn.STDEV.S(B2:B21)</f>
        <v>5.2505638794925238</v>
      </c>
    </row>
    <row r="5" spans="1:8" x14ac:dyDescent="0.25">
      <c r="A5">
        <v>1004</v>
      </c>
      <c r="B5">
        <v>91</v>
      </c>
      <c r="E5" s="6" t="s">
        <v>48</v>
      </c>
      <c r="F5">
        <f>COUNT(B2:B21)</f>
        <v>20</v>
      </c>
    </row>
    <row r="6" spans="1:8" x14ac:dyDescent="0.25">
      <c r="A6">
        <v>1005</v>
      </c>
      <c r="B6">
        <v>90</v>
      </c>
      <c r="E6" s="4" t="s">
        <v>49</v>
      </c>
      <c r="F6">
        <f>SQRT(F5)</f>
        <v>4.4721359549995796</v>
      </c>
    </row>
    <row r="7" spans="1:8" x14ac:dyDescent="0.25">
      <c r="A7">
        <v>1006</v>
      </c>
      <c r="B7">
        <v>89</v>
      </c>
      <c r="E7" s="3" t="s">
        <v>32</v>
      </c>
      <c r="F7">
        <f>F4/F6</f>
        <v>1.1740617754750298</v>
      </c>
      <c r="H7">
        <f>STDEV(B2:B21)/SQRT(COUNT(B2:B21))</f>
        <v>1.1740617754750298</v>
      </c>
    </row>
    <row r="8" spans="1:8" x14ac:dyDescent="0.25">
      <c r="A8">
        <v>1007</v>
      </c>
      <c r="B8">
        <v>78</v>
      </c>
    </row>
    <row r="9" spans="1:8" x14ac:dyDescent="0.25">
      <c r="A9">
        <v>1008</v>
      </c>
      <c r="B9">
        <v>83</v>
      </c>
      <c r="E9" s="9" t="s">
        <v>50</v>
      </c>
    </row>
    <row r="10" spans="1:8" x14ac:dyDescent="0.25">
      <c r="A10">
        <v>1009</v>
      </c>
      <c r="B10">
        <v>82</v>
      </c>
      <c r="E10" s="8" t="s">
        <v>51</v>
      </c>
      <c r="F10">
        <f>AVERAGE(B2:B21)+F7*1.96</f>
        <v>87.401161079931057</v>
      </c>
      <c r="H10" t="s">
        <v>53</v>
      </c>
    </row>
    <row r="11" spans="1:8" x14ac:dyDescent="0.25">
      <c r="A11">
        <v>1010</v>
      </c>
      <c r="B11">
        <v>79</v>
      </c>
      <c r="E11" s="7" t="s">
        <v>52</v>
      </c>
      <c r="F11">
        <f>AVERAGE(B2:B21)-F7*1.96</f>
        <v>82.798838920068931</v>
      </c>
      <c r="H11" t="s">
        <v>54</v>
      </c>
    </row>
    <row r="12" spans="1:8" x14ac:dyDescent="0.25">
      <c r="A12">
        <v>1011</v>
      </c>
      <c r="B12">
        <v>87</v>
      </c>
    </row>
    <row r="13" spans="1:8" x14ac:dyDescent="0.25">
      <c r="A13">
        <v>1012</v>
      </c>
      <c r="B13">
        <v>85</v>
      </c>
      <c r="E13" t="s">
        <v>46</v>
      </c>
    </row>
    <row r="14" spans="1:8" x14ac:dyDescent="0.25">
      <c r="A14">
        <v>1013</v>
      </c>
      <c r="B14">
        <v>83</v>
      </c>
    </row>
    <row r="15" spans="1:8" x14ac:dyDescent="0.25">
      <c r="A15">
        <v>1014</v>
      </c>
      <c r="B15">
        <v>80</v>
      </c>
      <c r="E15" s="5" t="s">
        <v>38</v>
      </c>
      <c r="F15">
        <f>_xlfn.STDEV.S(B2:B21)</f>
        <v>5.2505638794925238</v>
      </c>
    </row>
    <row r="16" spans="1:8" x14ac:dyDescent="0.25">
      <c r="A16">
        <v>1015</v>
      </c>
      <c r="B16">
        <v>84</v>
      </c>
      <c r="E16" s="6" t="s">
        <v>39</v>
      </c>
      <c r="F16">
        <f>COUNT(B2:B21)</f>
        <v>20</v>
      </c>
    </row>
    <row r="17" spans="1:8" x14ac:dyDescent="0.25">
      <c r="A17">
        <v>1016</v>
      </c>
      <c r="B17">
        <v>81</v>
      </c>
      <c r="E17" s="4" t="s">
        <v>40</v>
      </c>
      <c r="F17">
        <f>SQRT(F16)</f>
        <v>4.4721359549995796</v>
      </c>
    </row>
    <row r="18" spans="1:8" x14ac:dyDescent="0.25">
      <c r="A18">
        <v>1017</v>
      </c>
      <c r="B18">
        <v>76</v>
      </c>
      <c r="E18" s="3" t="s">
        <v>41</v>
      </c>
      <c r="F18">
        <f>F15/F17</f>
        <v>1.1740617754750298</v>
      </c>
      <c r="H18">
        <f>STDEV(B2:B21)/SQRT(COUNT(B2:B21))</f>
        <v>1.1740617754750298</v>
      </c>
    </row>
    <row r="19" spans="1:8" x14ac:dyDescent="0.25">
      <c r="A19">
        <v>1018</v>
      </c>
      <c r="B19">
        <v>85</v>
      </c>
    </row>
    <row r="20" spans="1:8" x14ac:dyDescent="0.25">
      <c r="A20">
        <v>1019</v>
      </c>
      <c r="B20">
        <v>92</v>
      </c>
      <c r="E20" s="9" t="s">
        <v>42</v>
      </c>
    </row>
    <row r="21" spans="1:8" x14ac:dyDescent="0.25">
      <c r="A21">
        <v>1020</v>
      </c>
      <c r="B21">
        <v>95</v>
      </c>
      <c r="E21" s="8" t="s">
        <v>43</v>
      </c>
      <c r="F21">
        <f>AVERAGE(B2:B21)+F18*1.96</f>
        <v>87.401161079931057</v>
      </c>
    </row>
    <row r="22" spans="1:8" x14ac:dyDescent="0.25">
      <c r="A22" t="s">
        <v>45</v>
      </c>
      <c r="B22">
        <f>AVERAGE(B2:B21)</f>
        <v>85.1</v>
      </c>
      <c r="E22" s="7" t="s">
        <v>44</v>
      </c>
      <c r="F22">
        <f>AVERAGE(B2:B21)-F18*1.96</f>
        <v>82.798838920068931</v>
      </c>
    </row>
    <row r="23" spans="1:8" x14ac:dyDescent="0.25">
      <c r="A23" t="s">
        <v>55</v>
      </c>
      <c r="B23">
        <f>MIN(B2:B21)</f>
        <v>76</v>
      </c>
    </row>
    <row r="24" spans="1:8" x14ac:dyDescent="0.25">
      <c r="A24" t="s">
        <v>56</v>
      </c>
      <c r="B24">
        <f>MAX(B2:B21)</f>
        <v>95</v>
      </c>
    </row>
    <row r="25" spans="1:8" x14ac:dyDescent="0.25">
      <c r="A25" t="s">
        <v>61</v>
      </c>
      <c r="B25">
        <f>B24-B23</f>
        <v>19</v>
      </c>
      <c r="F25" t="s">
        <v>63</v>
      </c>
      <c r="G25" t="s">
        <v>64</v>
      </c>
      <c r="H25" t="s">
        <v>65</v>
      </c>
    </row>
    <row r="26" spans="1:8" x14ac:dyDescent="0.25">
      <c r="A26" t="s">
        <v>58</v>
      </c>
      <c r="C26" t="s">
        <v>60</v>
      </c>
      <c r="D26" t="s">
        <v>62</v>
      </c>
      <c r="F26" t="s">
        <v>57</v>
      </c>
      <c r="G26" t="s">
        <v>66</v>
      </c>
      <c r="H26" t="s">
        <v>67</v>
      </c>
    </row>
    <row r="27" spans="1:8" x14ac:dyDescent="0.25">
      <c r="A27">
        <v>20</v>
      </c>
      <c r="B27" t="s">
        <v>59</v>
      </c>
      <c r="G27">
        <v>0</v>
      </c>
      <c r="H27">
        <v>0</v>
      </c>
    </row>
    <row r="28" spans="1:8" x14ac:dyDescent="0.25">
      <c r="A28">
        <v>0</v>
      </c>
      <c r="B28">
        <f>A28/$A$27</f>
        <v>0</v>
      </c>
      <c r="C28">
        <f>76+B28*$B$25</f>
        <v>76</v>
      </c>
      <c r="D28">
        <f>COUNTIF($B$2:$B$21, "&lt;=" &amp; C28)</f>
        <v>1</v>
      </c>
      <c r="F28">
        <f>A28</f>
        <v>0</v>
      </c>
      <c r="G28">
        <f>D28</f>
        <v>1</v>
      </c>
      <c r="H28">
        <f>G28-G27</f>
        <v>1</v>
      </c>
    </row>
    <row r="29" spans="1:8" x14ac:dyDescent="0.25">
      <c r="A29">
        <v>1</v>
      </c>
      <c r="B29">
        <f t="shared" ref="B29:B48" si="0">A29/$A$27</f>
        <v>0.05</v>
      </c>
      <c r="C29">
        <f t="shared" ref="C29:C48" si="1">76+B29*$B$25</f>
        <v>76.95</v>
      </c>
      <c r="D29">
        <f t="shared" ref="D29:D48" si="2">COUNTIF($B$2:$B$21, "&lt;=" &amp; C29)</f>
        <v>1</v>
      </c>
      <c r="F29">
        <f t="shared" ref="F29:F48" si="3">A29</f>
        <v>1</v>
      </c>
      <c r="G29">
        <f t="shared" ref="G29:G48" si="4">D29</f>
        <v>1</v>
      </c>
      <c r="H29">
        <f t="shared" ref="H29:H48" si="5">G29-G28</f>
        <v>0</v>
      </c>
    </row>
    <row r="30" spans="1:8" x14ac:dyDescent="0.25">
      <c r="A30">
        <v>2</v>
      </c>
      <c r="B30">
        <f t="shared" si="0"/>
        <v>0.1</v>
      </c>
      <c r="C30">
        <f t="shared" si="1"/>
        <v>77.900000000000006</v>
      </c>
      <c r="D30">
        <f t="shared" si="2"/>
        <v>1</v>
      </c>
      <c r="F30">
        <f t="shared" si="3"/>
        <v>2</v>
      </c>
      <c r="G30">
        <f t="shared" si="4"/>
        <v>1</v>
      </c>
      <c r="H30">
        <f t="shared" si="5"/>
        <v>0</v>
      </c>
    </row>
    <row r="31" spans="1:8" x14ac:dyDescent="0.25">
      <c r="A31">
        <v>3</v>
      </c>
      <c r="B31">
        <f t="shared" si="0"/>
        <v>0.15</v>
      </c>
      <c r="C31">
        <f t="shared" si="1"/>
        <v>78.849999999999994</v>
      </c>
      <c r="D31">
        <f t="shared" si="2"/>
        <v>2</v>
      </c>
      <c r="F31">
        <f t="shared" si="3"/>
        <v>3</v>
      </c>
      <c r="G31">
        <f t="shared" si="4"/>
        <v>2</v>
      </c>
      <c r="H31">
        <f t="shared" si="5"/>
        <v>1</v>
      </c>
    </row>
    <row r="32" spans="1:8" x14ac:dyDescent="0.25">
      <c r="A32">
        <v>4</v>
      </c>
      <c r="B32">
        <f t="shared" si="0"/>
        <v>0.2</v>
      </c>
      <c r="C32">
        <f t="shared" si="1"/>
        <v>79.8</v>
      </c>
      <c r="D32">
        <f t="shared" si="2"/>
        <v>3</v>
      </c>
      <c r="F32">
        <f t="shared" si="3"/>
        <v>4</v>
      </c>
      <c r="G32">
        <f t="shared" si="4"/>
        <v>3</v>
      </c>
      <c r="H32">
        <f t="shared" si="5"/>
        <v>1</v>
      </c>
    </row>
    <row r="33" spans="1:8" x14ac:dyDescent="0.25">
      <c r="A33">
        <v>5</v>
      </c>
      <c r="B33">
        <f t="shared" si="0"/>
        <v>0.25</v>
      </c>
      <c r="C33">
        <f t="shared" si="1"/>
        <v>80.75</v>
      </c>
      <c r="D33">
        <f t="shared" si="2"/>
        <v>4</v>
      </c>
      <c r="F33">
        <f t="shared" si="3"/>
        <v>5</v>
      </c>
      <c r="G33">
        <f t="shared" si="4"/>
        <v>4</v>
      </c>
      <c r="H33">
        <f t="shared" si="5"/>
        <v>1</v>
      </c>
    </row>
    <row r="34" spans="1:8" x14ac:dyDescent="0.25">
      <c r="A34">
        <v>6</v>
      </c>
      <c r="B34">
        <f t="shared" si="0"/>
        <v>0.3</v>
      </c>
      <c r="C34">
        <f t="shared" si="1"/>
        <v>81.7</v>
      </c>
      <c r="D34">
        <f t="shared" si="2"/>
        <v>5</v>
      </c>
      <c r="F34">
        <f t="shared" si="3"/>
        <v>6</v>
      </c>
      <c r="G34">
        <f t="shared" si="4"/>
        <v>5</v>
      </c>
      <c r="H34">
        <f t="shared" si="5"/>
        <v>1</v>
      </c>
    </row>
    <row r="35" spans="1:8" x14ac:dyDescent="0.25">
      <c r="A35">
        <v>7</v>
      </c>
      <c r="B35">
        <f t="shared" si="0"/>
        <v>0.35</v>
      </c>
      <c r="C35">
        <f t="shared" si="1"/>
        <v>82.65</v>
      </c>
      <c r="D35">
        <f t="shared" si="2"/>
        <v>6</v>
      </c>
      <c r="F35">
        <f t="shared" si="3"/>
        <v>7</v>
      </c>
      <c r="G35">
        <f t="shared" si="4"/>
        <v>6</v>
      </c>
      <c r="H35">
        <f t="shared" si="5"/>
        <v>1</v>
      </c>
    </row>
    <row r="36" spans="1:8" x14ac:dyDescent="0.25">
      <c r="A36">
        <v>8</v>
      </c>
      <c r="B36">
        <f t="shared" si="0"/>
        <v>0.4</v>
      </c>
      <c r="C36">
        <f t="shared" si="1"/>
        <v>83.6</v>
      </c>
      <c r="D36">
        <f t="shared" si="2"/>
        <v>9</v>
      </c>
      <c r="F36">
        <f t="shared" si="3"/>
        <v>8</v>
      </c>
      <c r="G36">
        <f t="shared" si="4"/>
        <v>9</v>
      </c>
      <c r="H36">
        <f t="shared" si="5"/>
        <v>3</v>
      </c>
    </row>
    <row r="37" spans="1:8" x14ac:dyDescent="0.25">
      <c r="A37">
        <v>9</v>
      </c>
      <c r="B37">
        <f t="shared" si="0"/>
        <v>0.45</v>
      </c>
      <c r="C37">
        <f t="shared" si="1"/>
        <v>84.55</v>
      </c>
      <c r="D37">
        <f t="shared" si="2"/>
        <v>10</v>
      </c>
      <c r="F37">
        <f t="shared" si="3"/>
        <v>9</v>
      </c>
      <c r="G37">
        <f t="shared" si="4"/>
        <v>10</v>
      </c>
      <c r="H37">
        <f t="shared" si="5"/>
        <v>1</v>
      </c>
    </row>
    <row r="38" spans="1:8" x14ac:dyDescent="0.25">
      <c r="A38">
        <v>10</v>
      </c>
      <c r="B38">
        <f t="shared" si="0"/>
        <v>0.5</v>
      </c>
      <c r="C38">
        <f t="shared" si="1"/>
        <v>85.5</v>
      </c>
      <c r="D38">
        <f t="shared" si="2"/>
        <v>12</v>
      </c>
      <c r="F38">
        <f t="shared" si="3"/>
        <v>10</v>
      </c>
      <c r="G38">
        <f t="shared" si="4"/>
        <v>12</v>
      </c>
      <c r="H38">
        <f t="shared" si="5"/>
        <v>2</v>
      </c>
    </row>
    <row r="39" spans="1:8" x14ac:dyDescent="0.25">
      <c r="A39">
        <v>11</v>
      </c>
      <c r="B39">
        <f t="shared" si="0"/>
        <v>0.55000000000000004</v>
      </c>
      <c r="C39">
        <f t="shared" si="1"/>
        <v>86.45</v>
      </c>
      <c r="D39">
        <f t="shared" si="2"/>
        <v>13</v>
      </c>
      <c r="F39">
        <f t="shared" si="3"/>
        <v>11</v>
      </c>
      <c r="G39">
        <f t="shared" si="4"/>
        <v>13</v>
      </c>
      <c r="H39">
        <f t="shared" si="5"/>
        <v>1</v>
      </c>
    </row>
    <row r="40" spans="1:8" x14ac:dyDescent="0.25">
      <c r="A40">
        <v>12</v>
      </c>
      <c r="B40">
        <f t="shared" si="0"/>
        <v>0.6</v>
      </c>
      <c r="C40">
        <f t="shared" si="1"/>
        <v>87.4</v>
      </c>
      <c r="D40">
        <f t="shared" si="2"/>
        <v>14</v>
      </c>
      <c r="F40">
        <f t="shared" si="3"/>
        <v>12</v>
      </c>
      <c r="G40">
        <f t="shared" si="4"/>
        <v>14</v>
      </c>
      <c r="H40">
        <f t="shared" si="5"/>
        <v>1</v>
      </c>
    </row>
    <row r="41" spans="1:8" x14ac:dyDescent="0.25">
      <c r="A41">
        <v>13</v>
      </c>
      <c r="B41">
        <f t="shared" si="0"/>
        <v>0.65</v>
      </c>
      <c r="C41">
        <f t="shared" si="1"/>
        <v>88.35</v>
      </c>
      <c r="D41">
        <f t="shared" si="2"/>
        <v>14</v>
      </c>
      <c r="F41">
        <f t="shared" si="3"/>
        <v>13</v>
      </c>
      <c r="G41">
        <f t="shared" si="4"/>
        <v>14</v>
      </c>
      <c r="H41">
        <f t="shared" si="5"/>
        <v>0</v>
      </c>
    </row>
    <row r="42" spans="1:8" x14ac:dyDescent="0.25">
      <c r="A42">
        <v>14</v>
      </c>
      <c r="B42">
        <f t="shared" si="0"/>
        <v>0.7</v>
      </c>
      <c r="C42">
        <f t="shared" si="1"/>
        <v>89.3</v>
      </c>
      <c r="D42">
        <f t="shared" si="2"/>
        <v>15</v>
      </c>
      <c r="F42">
        <f t="shared" si="3"/>
        <v>14</v>
      </c>
      <c r="G42">
        <f t="shared" si="4"/>
        <v>15</v>
      </c>
      <c r="H42">
        <f t="shared" si="5"/>
        <v>1</v>
      </c>
    </row>
    <row r="43" spans="1:8" x14ac:dyDescent="0.25">
      <c r="A43">
        <v>15</v>
      </c>
      <c r="B43">
        <f t="shared" si="0"/>
        <v>0.75</v>
      </c>
      <c r="C43">
        <f t="shared" si="1"/>
        <v>90.25</v>
      </c>
      <c r="D43">
        <f t="shared" si="2"/>
        <v>16</v>
      </c>
      <c r="F43">
        <f t="shared" si="3"/>
        <v>15</v>
      </c>
      <c r="G43">
        <f t="shared" si="4"/>
        <v>16</v>
      </c>
      <c r="H43">
        <f t="shared" si="5"/>
        <v>1</v>
      </c>
    </row>
    <row r="44" spans="1:8" x14ac:dyDescent="0.25">
      <c r="A44">
        <v>16</v>
      </c>
      <c r="B44">
        <f t="shared" si="0"/>
        <v>0.8</v>
      </c>
      <c r="C44">
        <f t="shared" si="1"/>
        <v>91.2</v>
      </c>
      <c r="D44">
        <f t="shared" si="2"/>
        <v>17</v>
      </c>
      <c r="F44">
        <f t="shared" si="3"/>
        <v>16</v>
      </c>
      <c r="G44">
        <f t="shared" si="4"/>
        <v>17</v>
      </c>
      <c r="H44">
        <f t="shared" si="5"/>
        <v>1</v>
      </c>
    </row>
    <row r="45" spans="1:8" x14ac:dyDescent="0.25">
      <c r="A45">
        <v>17</v>
      </c>
      <c r="B45">
        <f t="shared" si="0"/>
        <v>0.85</v>
      </c>
      <c r="C45">
        <f t="shared" si="1"/>
        <v>92.15</v>
      </c>
      <c r="D45">
        <f t="shared" si="2"/>
        <v>18</v>
      </c>
      <c r="F45">
        <f t="shared" si="3"/>
        <v>17</v>
      </c>
      <c r="G45">
        <f t="shared" si="4"/>
        <v>18</v>
      </c>
      <c r="H45">
        <f t="shared" si="5"/>
        <v>1</v>
      </c>
    </row>
    <row r="46" spans="1:8" x14ac:dyDescent="0.25">
      <c r="A46">
        <v>18</v>
      </c>
      <c r="B46">
        <f t="shared" si="0"/>
        <v>0.9</v>
      </c>
      <c r="C46">
        <f t="shared" si="1"/>
        <v>93.1</v>
      </c>
      <c r="D46">
        <f t="shared" si="2"/>
        <v>19</v>
      </c>
      <c r="F46">
        <f t="shared" si="3"/>
        <v>18</v>
      </c>
      <c r="G46">
        <f t="shared" si="4"/>
        <v>19</v>
      </c>
      <c r="H46">
        <f t="shared" si="5"/>
        <v>1</v>
      </c>
    </row>
    <row r="47" spans="1:8" x14ac:dyDescent="0.25">
      <c r="A47">
        <v>19</v>
      </c>
      <c r="B47">
        <f t="shared" si="0"/>
        <v>0.95</v>
      </c>
      <c r="C47">
        <f t="shared" si="1"/>
        <v>94.05</v>
      </c>
      <c r="D47">
        <f t="shared" si="2"/>
        <v>19</v>
      </c>
      <c r="F47">
        <f t="shared" si="3"/>
        <v>19</v>
      </c>
      <c r="G47">
        <f t="shared" si="4"/>
        <v>19</v>
      </c>
      <c r="H47">
        <f t="shared" si="5"/>
        <v>0</v>
      </c>
    </row>
    <row r="48" spans="1:8" x14ac:dyDescent="0.25">
      <c r="A48">
        <v>20</v>
      </c>
      <c r="B48">
        <f t="shared" si="0"/>
        <v>1</v>
      </c>
      <c r="C48">
        <f t="shared" si="1"/>
        <v>95</v>
      </c>
      <c r="D48">
        <f t="shared" si="2"/>
        <v>20</v>
      </c>
      <c r="F48">
        <f t="shared" si="3"/>
        <v>20</v>
      </c>
      <c r="G48">
        <f t="shared" si="4"/>
        <v>20</v>
      </c>
      <c r="H48">
        <f t="shared" si="5"/>
        <v>1</v>
      </c>
    </row>
    <row r="51" spans="3:5" x14ac:dyDescent="0.25">
      <c r="C51" t="s">
        <v>68</v>
      </c>
      <c r="E51" s="2" t="s">
        <v>69</v>
      </c>
    </row>
  </sheetData>
  <hyperlinks>
    <hyperlink ref="E5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Mittaus</vt:lpstr>
      <vt:lpstr>Heilahdusaika</vt:lpstr>
      <vt:lpstr>Tunnuslukuja</vt:lpstr>
    </vt:vector>
  </TitlesOfParts>
  <Company>University of Eastern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2017-11-28T14:28:33Z</dcterms:created>
  <dcterms:modified xsi:type="dcterms:W3CDTF">2017-12-13T07:56:46Z</dcterms:modified>
</cp:coreProperties>
</file>